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720" activeTab="3"/>
  </bookViews>
  <sheets>
    <sheet name="copertina" sheetId="1" r:id="rId1"/>
    <sheet name="copertina riepiloghi" sheetId="2" r:id="rId2"/>
    <sheet name="riepilogo" sheetId="3" r:id="rId3"/>
    <sheet name="avanzo" sheetId="4" r:id="rId4"/>
    <sheet name="riepilogo 1" sheetId="5" r:id="rId5"/>
    <sheet name="dettagliocentrocosto" sheetId="6" r:id="rId6"/>
    <sheet name="dettagliocentrocosto invest" sheetId="7" r:id="rId7"/>
    <sheet name="copertina dettagli" sheetId="8" r:id="rId8"/>
    <sheet name="servizigenerali" sheetId="9" r:id="rId9"/>
    <sheet name="suap" sheetId="10" r:id="rId10"/>
    <sheet name="si" sheetId="11" r:id="rId11"/>
    <sheet name="uffpiano" sheetId="12" r:id="rId12"/>
    <sheet name="PM" sheetId="13" r:id="rId13"/>
    <sheet name="personale" sheetId="14" r:id="rId14"/>
  </sheets>
  <definedNames>
    <definedName name="_xlnm.Print_Area" localSheetId="7">'copertina dettagli'!$A$1:$J$26</definedName>
    <definedName name="_xlnm.Print_Area" localSheetId="1">'copertina riepiloghi'!$A$1:$J$28</definedName>
    <definedName name="_xlnm.Print_Area" localSheetId="5">'dettagliocentrocosto'!$A$1:$I$170</definedName>
    <definedName name="_xlnm.Print_Area" localSheetId="6">'dettagliocentrocosto invest'!$A$1:$L$146</definedName>
    <definedName name="_xlnm.Print_Area" localSheetId="13">'personale'!$A$1:$E$33</definedName>
    <definedName name="_xlnm.Print_Area" localSheetId="12">'PM'!$A$1:$D$68</definedName>
    <definedName name="_xlnm.Print_Area" localSheetId="2">'riepilogo'!$A$1:$K$68</definedName>
    <definedName name="_xlnm.Print_Area" localSheetId="8">'servizigenerali'!$A$1:$E$56</definedName>
    <definedName name="_xlnm.Print_Area" localSheetId="10">'si'!$A$1:$E$29</definedName>
    <definedName name="_xlnm.Print_Area" localSheetId="9">'suap'!$A$1:$E$33</definedName>
    <definedName name="_xlnm.Print_Area" localSheetId="11">'uffpiano'!$A$1:$E$20</definedName>
  </definedNames>
  <calcPr fullCalcOnLoad="1"/>
</workbook>
</file>

<file path=xl/comments6.xml><?xml version="1.0" encoding="utf-8"?>
<comments xmlns="http://schemas.openxmlformats.org/spreadsheetml/2006/main">
  <authors>
    <author>n.berti</author>
  </authors>
  <commentList>
    <comment ref="I9" authorId="0">
      <text>
        <r>
          <rPr>
            <b/>
            <sz val="8"/>
            <rFont val="Tahoma"/>
            <family val="0"/>
          </rPr>
          <t>n.berti:</t>
        </r>
        <r>
          <rPr>
            <sz val="8"/>
            <rFont val="Tahoma"/>
            <family val="0"/>
          </rPr>
          <t xml:space="preserve">
Di cui 11000 di spese postali trasferite a San Giorgio </t>
        </r>
      </text>
    </comment>
  </commentList>
</comments>
</file>

<file path=xl/sharedStrings.xml><?xml version="1.0" encoding="utf-8"?>
<sst xmlns="http://schemas.openxmlformats.org/spreadsheetml/2006/main" count="740" uniqueCount="303">
  <si>
    <t>Comuni</t>
  </si>
  <si>
    <t>Argelato</t>
  </si>
  <si>
    <t>Bentivoglio</t>
  </si>
  <si>
    <t>Castello D'Argile</t>
  </si>
  <si>
    <t>Galliera</t>
  </si>
  <si>
    <t>Pieve di Cento</t>
  </si>
  <si>
    <t>San Giorgio di Piano</t>
  </si>
  <si>
    <t>San Pietro in Casale</t>
  </si>
  <si>
    <t>Totale</t>
  </si>
  <si>
    <t>Castel Maggiore</t>
  </si>
  <si>
    <t>Tipologia</t>
  </si>
  <si>
    <t xml:space="preserve">Differenza tra entrate ed uscite </t>
  </si>
  <si>
    <t>TOTALE ENTRATE</t>
  </si>
  <si>
    <t>Entrate dai comuni</t>
  </si>
  <si>
    <t>Acquisto beni di consumo</t>
  </si>
  <si>
    <t xml:space="preserve">Entrate </t>
  </si>
  <si>
    <t>Uscite</t>
  </si>
  <si>
    <t xml:space="preserve">Uscite </t>
  </si>
  <si>
    <t xml:space="preserve">    Contributo comuni</t>
  </si>
  <si>
    <t xml:space="preserve">    Contributo regione</t>
  </si>
  <si>
    <t>contratto assistenza sit</t>
  </si>
  <si>
    <t>Entrate extra comune</t>
  </si>
  <si>
    <t>Ufficio di Piano</t>
  </si>
  <si>
    <t xml:space="preserve">    Servizi generali </t>
  </si>
  <si>
    <t xml:space="preserve">    SUAP</t>
  </si>
  <si>
    <t xml:space="preserve">    Sistemi informativi</t>
  </si>
  <si>
    <t xml:space="preserve">    Ufficio di Piano</t>
  </si>
  <si>
    <t>Personale</t>
  </si>
  <si>
    <t xml:space="preserve"> </t>
  </si>
  <si>
    <t xml:space="preserve">    diretti di segreteria per pratiche edilizie</t>
  </si>
  <si>
    <t>personale del comune di Argelato</t>
  </si>
  <si>
    <t>personale del comune di Castel Maggiore</t>
  </si>
  <si>
    <t>corsi aggiornamento personale</t>
  </si>
  <si>
    <t>assistenza software</t>
  </si>
  <si>
    <t>Totale uscite spese correnti</t>
  </si>
  <si>
    <t xml:space="preserve">pubblicazioni conferenze dei servizi e programmi </t>
  </si>
  <si>
    <t>Contributo comuni</t>
  </si>
  <si>
    <t>Restituzioni importi per sanzioni</t>
  </si>
  <si>
    <t>Diritti di segreteria</t>
  </si>
  <si>
    <t>totale restituzioni violazioni</t>
  </si>
  <si>
    <t>Contributo regione</t>
  </si>
  <si>
    <t>Pubblicazione stradario sul portale</t>
  </si>
  <si>
    <t xml:space="preserve">Acquisto hw e sw associazione </t>
  </si>
  <si>
    <t>Personale (compreso IRAP)</t>
  </si>
  <si>
    <t>Acquisto di beni</t>
  </si>
  <si>
    <t>Prestazioni di servizio</t>
  </si>
  <si>
    <t>Trasferimenti a terzi</t>
  </si>
  <si>
    <t>Servizi generali</t>
  </si>
  <si>
    <t>SI</t>
  </si>
  <si>
    <t>Ufficio di piano</t>
  </si>
  <si>
    <t>spese procedure concorsuali</t>
  </si>
  <si>
    <t>compenso nucleo di valutazione</t>
  </si>
  <si>
    <t>Arredi e attrezzature varie</t>
  </si>
  <si>
    <t>Schema riepilogativo GENERALE</t>
  </si>
  <si>
    <t>Comuni di Argelato, Bentivoglio, Castello d’Argile, Castel Maggiore,
Galliera, Pieve di Cento, San Giorgio di Piano, San Pietro in Casale</t>
  </si>
  <si>
    <t>Associazione Intercomunale Reno-Galliera</t>
  </si>
  <si>
    <t>Trasferimento a terzi</t>
  </si>
  <si>
    <t>Sportello unico per le attività produttive</t>
  </si>
  <si>
    <t>Sistema informativi, statistici e SIT</t>
  </si>
  <si>
    <t>Prestazioni di servizi
(contratti di assistenza)</t>
  </si>
  <si>
    <t>-</t>
  </si>
  <si>
    <t>Polizia Municipale</t>
  </si>
  <si>
    <t>Dettaglio per servizi - PARTE CORRENTE</t>
  </si>
  <si>
    <t>Dettaglio per servizi - PARTE INVESTIMENTI</t>
  </si>
  <si>
    <t xml:space="preserve">    Contributo regione (servizi sociali)</t>
  </si>
  <si>
    <t>totale intervento 2</t>
  </si>
  <si>
    <t>totale intervento 1</t>
  </si>
  <si>
    <t xml:space="preserve">Pagamento telefono </t>
  </si>
  <si>
    <t>Spese in economato</t>
  </si>
  <si>
    <t>Acquisto cancelleria</t>
  </si>
  <si>
    <t>Abbonamenti (Italia oggi, G.U.)</t>
  </si>
  <si>
    <t>totale intervento 3</t>
  </si>
  <si>
    <t>totale intervento 5</t>
  </si>
  <si>
    <t>Suap</t>
  </si>
  <si>
    <t>Totale complessivo</t>
  </si>
  <si>
    <t>Riepilogo per servizi - PARTE CORRENTE</t>
  </si>
  <si>
    <t>Personale trasferito dal comune di Castello D'Argile</t>
  </si>
  <si>
    <t>Abbonamenti e pubblicazioni</t>
  </si>
  <si>
    <t>Sistemi informatici e SIT</t>
  </si>
  <si>
    <t>Contributo regione
(PRG UNICO-urbanistica regolamenti)</t>
  </si>
  <si>
    <t>Entrate da sanzioni
per violazioni di norme</t>
  </si>
  <si>
    <t>Corsi aggiornamento personale</t>
  </si>
  <si>
    <t>Spese manutenzione automezzi</t>
  </si>
  <si>
    <t>Assicurazioni</t>
  </si>
  <si>
    <t>Tasse automobilistiche</t>
  </si>
  <si>
    <t>Vestiario</t>
  </si>
  <si>
    <t>Spese per armamento</t>
  </si>
  <si>
    <t>Acquisto carburante</t>
  </si>
  <si>
    <t>Materiale per educazione stradale</t>
  </si>
  <si>
    <t>Totale complessivo spese correnti</t>
  </si>
  <si>
    <t>Personale del comune di Argelato</t>
  </si>
  <si>
    <t>Personale del comune di Bentivoglio</t>
  </si>
  <si>
    <t>Personale del comune di Castello D'Argile</t>
  </si>
  <si>
    <t>Personale del comune di Galliera</t>
  </si>
  <si>
    <t>Personale del comune di Pieve di Cento</t>
  </si>
  <si>
    <t>Personale del comune di San Giorgio di Piano</t>
  </si>
  <si>
    <t>Personale del comune di San Pietro in Casale</t>
  </si>
  <si>
    <t>- Riepilogo generale</t>
  </si>
  <si>
    <t>Dati riassuntivi</t>
  </si>
  <si>
    <t>- Riepilogo per servizio (parte corrente)</t>
  </si>
  <si>
    <t>- Riepilogo per servizio (parte investimenti)</t>
  </si>
  <si>
    <t>Dati analitici per servizio</t>
  </si>
  <si>
    <t>PM</t>
  </si>
  <si>
    <t xml:space="preserve">consulenza e assistenza hardware e software uffici associati </t>
  </si>
  <si>
    <t>Spese postali Ancitel e diritti di notifica e gestione verbali</t>
  </si>
  <si>
    <t>Rimborsi vari</t>
  </si>
  <si>
    <t xml:space="preserve">Utilizzo beni di terzi </t>
  </si>
  <si>
    <t>totale intervento 4</t>
  </si>
  <si>
    <t>SUAP</t>
  </si>
  <si>
    <t>indennità da attribuire (art. 208)</t>
  </si>
  <si>
    <t>Buoni pasto dipendenti associazione</t>
  </si>
  <si>
    <t>utenze (telefono-enel-gas-h20)</t>
  </si>
  <si>
    <t xml:space="preserve">Trasferimento a terzi </t>
  </si>
  <si>
    <t xml:space="preserve">Restituzioni violazioni comune di Argelato
</t>
  </si>
  <si>
    <t xml:space="preserve">Restituzioni violazioni comune di Galliera
</t>
  </si>
  <si>
    <t xml:space="preserve">Restituzioni violazioni comune di Pieve di Cento
</t>
  </si>
  <si>
    <t xml:space="preserve">Restituzioni violazioni comune di S. Giorgio di Piano </t>
  </si>
  <si>
    <t xml:space="preserve">Restituzioni violazioni comune di S. Pietro in Casale </t>
  </si>
  <si>
    <t xml:space="preserve">Restituzioni violazioni comune di Bentivoglio
</t>
  </si>
  <si>
    <t>assistenza software - licenze 770</t>
  </si>
  <si>
    <t xml:space="preserve">Indenità di missione </t>
  </si>
  <si>
    <t>Corsi di aggiornamento</t>
  </si>
  <si>
    <t xml:space="preserve">Pagamento utenze (luce+acqua) </t>
  </si>
  <si>
    <t>Contributo ordinario regionale  per servizi sociali</t>
  </si>
  <si>
    <t xml:space="preserve">Contributo ordinario regionale </t>
  </si>
  <si>
    <t>Contributo ordinario regionale</t>
  </si>
  <si>
    <t>Incarichi per predisposizioni piani  pubblici esercizi</t>
  </si>
  <si>
    <t>diff</t>
  </si>
  <si>
    <t>contributi provincia uffici comuni</t>
  </si>
  <si>
    <t>spese di gestione PROMOBO</t>
  </si>
  <si>
    <t xml:space="preserve">rimozione veicoli </t>
  </si>
  <si>
    <t xml:space="preserve">spese legali ricorsi </t>
  </si>
  <si>
    <t>incarico edicole</t>
  </si>
  <si>
    <t>personale del comune di San Giorgio di Piano</t>
  </si>
  <si>
    <t>Produzione depliant informativo altre prestazioni di servizio</t>
  </si>
  <si>
    <t>Contributo Regione per gestione associata</t>
  </si>
  <si>
    <t>Personale Comune di Castel Maggiore</t>
  </si>
  <si>
    <t>incarico 626- ing. Marconi</t>
  </si>
  <si>
    <t>incarico medico 626</t>
  </si>
  <si>
    <t>spese postali</t>
  </si>
  <si>
    <t>Personale Comune di Pieve di Cento (40%)</t>
  </si>
  <si>
    <t>Personale Comune di Pieve di Cento (60%)</t>
  </si>
  <si>
    <t>Personale SENZA INCREMENTI CCNL</t>
  </si>
  <si>
    <t xml:space="preserve"> Entrate  extra-comuni</t>
  </si>
  <si>
    <t>Trasferimenti a terzi (senza violazioni)</t>
  </si>
  <si>
    <t>Utilizzo beni di terzi</t>
  </si>
  <si>
    <t>intervento 4</t>
  </si>
  <si>
    <t>Affitto garages comune San Giorgio</t>
  </si>
  <si>
    <t>Spese straordinarie di gestione</t>
  </si>
  <si>
    <t>totale intervento 5 con violazioni</t>
  </si>
  <si>
    <t>TOTALE USCITE senza violazioni</t>
  </si>
  <si>
    <t>Totale complessivo spese correnti
(senza violazioni)</t>
  </si>
  <si>
    <t>totale intervento 5 senza violazioni</t>
  </si>
  <si>
    <t>Incarico per redazione PSC</t>
  </si>
  <si>
    <t xml:space="preserve">Contributo dei Comuni  (in base alla tariffa professionale per la redazione degli strumenti urbanistici e 30% fisso, 70% pop per gli incarichi specialistici) </t>
  </si>
  <si>
    <t>30% fisso e 70% pop.</t>
  </si>
  <si>
    <t>in base a tariffa professionale</t>
  </si>
  <si>
    <t>RUOLI</t>
  </si>
  <si>
    <t>Corret. Galliera</t>
  </si>
  <si>
    <t>QUOTA PATTO</t>
  </si>
  <si>
    <t>P.M. (senza introiti violazioni)</t>
  </si>
  <si>
    <t>assistenza portale</t>
  </si>
  <si>
    <t>Consuntivo
2004</t>
  </si>
  <si>
    <t>Aggiornamento cartografia</t>
  </si>
  <si>
    <t>QUOTA PATTO CONSUNTIVO 2004 (dato Ragioneria Comune Argelato)</t>
  </si>
  <si>
    <t>aggiornamento antivirus ed antispyware</t>
  </si>
  <si>
    <t>QUOTA PATTO 2006</t>
  </si>
  <si>
    <t>QUOTA PATTO 2004</t>
  </si>
  <si>
    <t>Contributo dei comuni a ripianamento bilancio- investimenti</t>
  </si>
  <si>
    <t xml:space="preserve">Attrezzature ed Impianti di video sorveglianza e centrale radio </t>
  </si>
  <si>
    <t>Interv. 2 e interv. 3</t>
  </si>
  <si>
    <t>QUOT APATTO</t>
  </si>
  <si>
    <t>Personale comune di San Giorgio di Piano</t>
  </si>
  <si>
    <t>Spese ccp</t>
  </si>
  <si>
    <t>Servizi per suap</t>
  </si>
  <si>
    <t>progetti e-government</t>
  </si>
  <si>
    <t>Personale + irap</t>
  </si>
  <si>
    <t>Commissione ERP</t>
  </si>
  <si>
    <t xml:space="preserve"> Quota Comuni commissione erp</t>
  </si>
  <si>
    <t>Spese di rappresentanza</t>
  </si>
  <si>
    <t xml:space="preserve">Contratto assistenza centralino, fotocopiatrici , fax, sw, antincendio, pulizia, vigilanza, condizion. </t>
  </si>
  <si>
    <t>Manutenzione ascensore</t>
  </si>
  <si>
    <t>Incarico telefonia</t>
  </si>
  <si>
    <t>Acquisto attrezzature</t>
  </si>
  <si>
    <t xml:space="preserve"> Erogatori acqua</t>
  </si>
  <si>
    <t>Incarico per reception + irap</t>
  </si>
  <si>
    <t>Direttore (Comune di Argelato) + irap</t>
  </si>
  <si>
    <t>spese di economato</t>
  </si>
  <si>
    <t>Personale trasferito dal comune di Argelato + irap</t>
  </si>
  <si>
    <t>Acquisto beni</t>
  </si>
  <si>
    <t>Acquisto stampati, pubblicazioni e cancelleria</t>
  </si>
  <si>
    <t xml:space="preserve">Abbonamenti </t>
  </si>
  <si>
    <t>Corsi aggiornamento/addestram. personale</t>
  </si>
  <si>
    <t>Manutenzione attrezzature</t>
  </si>
  <si>
    <t>Notifiche</t>
  </si>
  <si>
    <t>Buoni pasto</t>
  </si>
  <si>
    <t>Rimborso spese varie a Comuni</t>
  </si>
  <si>
    <t>borse lavoro</t>
  </si>
  <si>
    <t>Rimborso nucleo</t>
  </si>
  <si>
    <t xml:space="preserve">TOTALE DA RESTITUIRE AI COMUNI </t>
  </si>
  <si>
    <t xml:space="preserve">Incarichi specialistici </t>
  </si>
  <si>
    <t>Imposte e tasse</t>
  </si>
  <si>
    <t>Contributo prov./reg.</t>
  </si>
  <si>
    <t xml:space="preserve">    Entrate diverse</t>
  </si>
  <si>
    <t xml:space="preserve">     Entrate diverse</t>
  </si>
  <si>
    <t>Intervento 4                                                   Utilizzo beni di terzi</t>
  </si>
  <si>
    <t>Restituzioni violazioni comune di Castello d'Argile</t>
  </si>
  <si>
    <t>Gestione servizio P.M.</t>
  </si>
  <si>
    <t>Accesso banche dati</t>
  </si>
  <si>
    <t>Contributo regione per gestione associata</t>
  </si>
  <si>
    <t>TOTALE SPESE</t>
  </si>
  <si>
    <t>Avanzo di amm.ne 2005</t>
  </si>
  <si>
    <t xml:space="preserve">    Contributo regione (studio fatt.)</t>
  </si>
  <si>
    <t>incarico Co Gruppo</t>
  </si>
  <si>
    <t>Quota a carico Comuni da trasferire</t>
  </si>
  <si>
    <t>PREVISIONI PARTE CORRENTE</t>
  </si>
  <si>
    <t>PREVISIONI PARTE INVESTIMENTI</t>
  </si>
  <si>
    <t>Prev. 30.04.06</t>
  </si>
  <si>
    <t>Prev. 30.09.06</t>
  </si>
  <si>
    <t>integrazione di settembre</t>
  </si>
  <si>
    <t>economia</t>
  </si>
  <si>
    <t xml:space="preserve">contributo della regione </t>
  </si>
  <si>
    <t>acquisto hw e sw</t>
  </si>
  <si>
    <t>contributo regione</t>
  </si>
  <si>
    <t>Prev. 30.11.06</t>
  </si>
  <si>
    <t>RENDICONTO 2006</t>
  </si>
  <si>
    <t>Rendiconto 2006 - Associazione Reno-Galliera</t>
  </si>
  <si>
    <t>Imp. 2006</t>
  </si>
  <si>
    <t>borse studio</t>
  </si>
  <si>
    <t>auto messo</t>
  </si>
  <si>
    <t>Noleggi</t>
  </si>
  <si>
    <t>Affitto sede associazione</t>
  </si>
  <si>
    <t>Rimborso spese a Comuni</t>
  </si>
  <si>
    <t>Acc. 2006</t>
  </si>
  <si>
    <t xml:space="preserve">incarichi professionali (compreso irap) </t>
  </si>
  <si>
    <t>incarichi professionali</t>
  </si>
  <si>
    <t>Integrazione Comuni</t>
  </si>
  <si>
    <t>Spese postali, ancitel, diritti di notifica e gestione verbali</t>
  </si>
  <si>
    <t>incarichi professionali (compreso irap)</t>
  </si>
  <si>
    <t xml:space="preserve">Affito sede  </t>
  </si>
  <si>
    <t>Violazioni da ripartire</t>
  </si>
  <si>
    <t>assistenza telefonica</t>
  </si>
  <si>
    <t>spese telefoniche</t>
  </si>
  <si>
    <t>Rimborsi</t>
  </si>
  <si>
    <t>Risultato gestione di competenza</t>
  </si>
  <si>
    <t>Residui passivi eliminati</t>
  </si>
  <si>
    <t>Residui attivi eliminati</t>
  </si>
  <si>
    <t>Avanzo 2005</t>
  </si>
  <si>
    <t>Contributo da Comuni</t>
  </si>
  <si>
    <t>Arredi</t>
  </si>
  <si>
    <t>attrezzature informatiche</t>
  </si>
  <si>
    <t>Quote 2006</t>
  </si>
  <si>
    <t>Allestimento veicolo</t>
  </si>
  <si>
    <t>Acquisto app. controllo velocità</t>
  </si>
  <si>
    <t>RISULTATO GESTIONE COMPETENZA</t>
  </si>
  <si>
    <t xml:space="preserve">    Contributo  Comuni</t>
  </si>
  <si>
    <t>Quote 2006 commiss. erp</t>
  </si>
  <si>
    <t xml:space="preserve">    Contributo  Comuni erp</t>
  </si>
  <si>
    <t>Entrate</t>
  </si>
  <si>
    <t>Contributo  Comuni</t>
  </si>
  <si>
    <t>Contributo  Comuni nucleo</t>
  </si>
  <si>
    <t xml:space="preserve">Compenso nucleo di valutazione </t>
  </si>
  <si>
    <t>Quota nucleo</t>
  </si>
  <si>
    <t>PARTE CORRENTE</t>
  </si>
  <si>
    <t>PARTE INVESTIMENTI</t>
  </si>
  <si>
    <t>TOTALE ENTRATE senza violazioni</t>
  </si>
  <si>
    <t>Avanzo gestione 2006</t>
  </si>
  <si>
    <t>Quota erp 2006</t>
  </si>
  <si>
    <t xml:space="preserve">Contributo dei comuni </t>
  </si>
  <si>
    <t>RIEPILOGO AVANZO</t>
  </si>
  <si>
    <t>SERVIZI GENERALI</t>
  </si>
  <si>
    <t>UFFICIO DI PIANO</t>
  </si>
  <si>
    <t>PERSONALE</t>
  </si>
  <si>
    <t>TOTALE</t>
  </si>
  <si>
    <t>COMPETENZA CORRENTE</t>
  </si>
  <si>
    <t>RESIDUI ATTIVI PARTE CORRENTE ELIMINATI</t>
  </si>
  <si>
    <t>RESIDUI PASSIVI PARTE CORRENTE ELIMINATI</t>
  </si>
  <si>
    <t>TOTALE AVANZO PARTE CORRENTE</t>
  </si>
  <si>
    <t xml:space="preserve">COMPETENZA INVESTIMENTI  </t>
  </si>
  <si>
    <t>RESIDUI PASSIVI PARTE INVESTIMENTI ELIMINATI</t>
  </si>
  <si>
    <t>TOTALE AVANZO PARTE INVESTIMENTI</t>
  </si>
  <si>
    <t>TOTALE AVANZO 2006</t>
  </si>
  <si>
    <t>MAGGIORI RESIDUI ATTIVI PARTE INVESTIMENTI</t>
  </si>
  <si>
    <t xml:space="preserve">    P.M.  (senza trasf. per violaz.)</t>
  </si>
  <si>
    <t xml:space="preserve">    Personale + Nucleo</t>
  </si>
  <si>
    <t>Avanzo 2006</t>
  </si>
  <si>
    <r>
      <t>Servizi generali</t>
    </r>
    <r>
      <rPr>
        <sz val="10"/>
        <rFont val="Tahoma"/>
        <family val="2"/>
      </rPr>
      <t xml:space="preserve"> </t>
    </r>
  </si>
  <si>
    <r>
      <t>SI</t>
    </r>
    <r>
      <rPr>
        <sz val="10"/>
        <rFont val="Tahoma"/>
        <family val="2"/>
      </rPr>
      <t xml:space="preserve"> </t>
    </r>
  </si>
  <si>
    <r>
      <t xml:space="preserve">Contributo dei comuni </t>
    </r>
    <r>
      <rPr>
        <sz val="11"/>
        <rFont val="Tahoma"/>
        <family val="2"/>
      </rPr>
      <t>(in % rispetto alla popolazione)</t>
    </r>
  </si>
  <si>
    <r>
      <t xml:space="preserve">Contributo dei comuni </t>
    </r>
    <r>
      <rPr>
        <sz val="11"/>
        <rFont val="Tahoma"/>
        <family val="2"/>
      </rPr>
      <t>(30% quota fissa, 70% in proporzione alle pratiche)</t>
    </r>
  </si>
  <si>
    <r>
      <t xml:space="preserve">Contributo dei Comuni </t>
    </r>
    <r>
      <rPr>
        <sz val="11"/>
        <rFont val="Tahoma"/>
        <family val="2"/>
      </rPr>
      <t>(30% quota fissa, 70%  in proporzione alla popolazione)</t>
    </r>
  </si>
  <si>
    <r>
      <t xml:space="preserve">Contributo dei comuni (ad esclusione di Castel Maggiore) </t>
    </r>
    <r>
      <rPr>
        <sz val="11"/>
        <rFont val="Tahoma"/>
        <family val="2"/>
      </rPr>
      <t>(in % rispetto alla popolazione),</t>
    </r>
  </si>
  <si>
    <r>
      <t xml:space="preserve">Contributo dei comuni </t>
    </r>
    <r>
      <rPr>
        <sz val="11"/>
        <rFont val="Tahoma"/>
        <family val="2"/>
      </rPr>
      <t>(100% rispetto ai dipendenti di ruolo e non di ruolo)</t>
    </r>
  </si>
  <si>
    <r>
      <t xml:space="preserve">Contributo dei Comuni </t>
    </r>
    <r>
      <rPr>
        <sz val="11"/>
        <rFont val="Tahoma"/>
        <family val="2"/>
      </rPr>
      <t>(30% quota fissa, 70%  in proporzione pratiche)</t>
    </r>
  </si>
  <si>
    <r>
      <t xml:space="preserve">Intervento 1
</t>
    </r>
    <r>
      <rPr>
        <b/>
        <u val="single"/>
        <sz val="11"/>
        <rFont val="Tahoma"/>
        <family val="2"/>
      </rPr>
      <t>Personale</t>
    </r>
  </si>
  <si>
    <r>
      <t xml:space="preserve">Intervento 2
</t>
    </r>
    <r>
      <rPr>
        <b/>
        <u val="single"/>
        <sz val="11"/>
        <rFont val="Tahoma"/>
        <family val="2"/>
      </rPr>
      <t>Acquisto materie prime e/o beni di consumo</t>
    </r>
  </si>
  <si>
    <r>
      <t xml:space="preserve">Intervento 3
</t>
    </r>
    <r>
      <rPr>
        <b/>
        <u val="single"/>
        <sz val="11"/>
        <rFont val="Tahoma"/>
        <family val="2"/>
      </rPr>
      <t>Prestazioni di servizi</t>
    </r>
  </si>
  <si>
    <r>
      <t xml:space="preserve">Segue </t>
    </r>
    <r>
      <rPr>
        <b/>
        <sz val="12"/>
        <rFont val="Tahoma"/>
        <family val="2"/>
      </rPr>
      <t>Uscite</t>
    </r>
  </si>
  <si>
    <r>
      <t xml:space="preserve">Intervento 5
</t>
    </r>
    <r>
      <rPr>
        <b/>
        <u val="single"/>
        <sz val="11"/>
        <rFont val="Tahoma"/>
        <family val="2"/>
      </rPr>
      <t>Trasferimenti a terzi</t>
    </r>
  </si>
  <si>
    <r>
      <t xml:space="preserve">Intervento 1
</t>
    </r>
    <r>
      <rPr>
        <b/>
        <u val="single"/>
        <sz val="11"/>
        <rFont val="Tahoma"/>
        <family val="2"/>
      </rPr>
      <t xml:space="preserve">Personale </t>
    </r>
    <r>
      <rPr>
        <b/>
        <sz val="11"/>
        <rFont val="Tahoma"/>
        <family val="2"/>
      </rPr>
      <t>(compresa IRAP)</t>
    </r>
  </si>
  <si>
    <r>
      <t xml:space="preserve">Intervento 2
</t>
    </r>
    <r>
      <rPr>
        <b/>
        <u val="single"/>
        <sz val="11"/>
        <rFont val="Tahoma"/>
        <family val="2"/>
      </rPr>
      <t>Acquisto materie prime
e/o beni di consumo</t>
    </r>
  </si>
  <si>
    <r>
      <t xml:space="preserve">Intervento 7                                                  </t>
    </r>
    <r>
      <rPr>
        <b/>
        <u val="single"/>
        <sz val="11"/>
        <rFont val="Tahoma"/>
        <family val="2"/>
      </rPr>
      <t>Imposte e tasse</t>
    </r>
  </si>
  <si>
    <r>
      <t xml:space="preserve">Intervento 8                                                   </t>
    </r>
    <r>
      <rPr>
        <b/>
        <u val="single"/>
        <sz val="11"/>
        <rFont val="Tahoma"/>
        <family val="2"/>
      </rPr>
      <t>Spese straordinarie di gestione</t>
    </r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</si>
</sst>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#,##0;[Red]#,##0"/>
    <numFmt numFmtId="186" formatCode="General_)"/>
    <numFmt numFmtId="187" formatCode="#,##0.0_);\(#,##0.0\)"/>
    <numFmt numFmtId="188" formatCode="_-* #,##0.0_-;\-* #,##0.0_-;_-* &quot;-&quot;_-;_-@_-"/>
    <numFmt numFmtId="189" formatCode="_-* #,##0.00_-;\-* #,##0.00_-;_-* &quot;-&quot;_-;_-@_-"/>
    <numFmt numFmtId="190" formatCode="_-* #,##0.0_-;\-* #,##0.0_-;_-* &quot;-&quot;?_-;_-@_-"/>
    <numFmt numFmtId="191" formatCode="_-* #,##0.000_-;\-* #,##0.000_-;_-* &quot;-&quot;_-;_-@_-"/>
    <numFmt numFmtId="192" formatCode="_-* #,##0.0000_-;\-* #,##0.0000_-;_-* &quot;-&quot;_-;_-@_-"/>
    <numFmt numFmtId="193" formatCode="_-[$€-2]\ * #,##0.00_-;\-[$€-2]\ * #,##0.00_-;_-[$€-2]\ * &quot;-&quot;??_-"/>
    <numFmt numFmtId="194" formatCode="#,##0.00_ ;\-#,##0.00\ "/>
    <numFmt numFmtId="195" formatCode="0_ ;\-0\ "/>
    <numFmt numFmtId="196" formatCode="#,##0.000"/>
    <numFmt numFmtId="197" formatCode="#,##0.0000"/>
    <numFmt numFmtId="198" formatCode="0.0000"/>
    <numFmt numFmtId="199" formatCode="0.000000"/>
    <numFmt numFmtId="200" formatCode="0.00000"/>
    <numFmt numFmtId="201" formatCode="0.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_(* #,##0_);_(* \(#,##0\);_(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&quot;€&quot;\ #,##0.00"/>
    <numFmt numFmtId="213" formatCode="[$-410]dddd\ d\ mmmm\ yyyy"/>
    <numFmt numFmtId="214" formatCode="[$€-2]\ #.##000_);[Red]\([$€-2]\ #.##000\)"/>
    <numFmt numFmtId="215" formatCode="#,##0.0"/>
    <numFmt numFmtId="216" formatCode="_-* #,##0.0_-;\-* #,##0.0_-;_-* &quot;-&quot;??_-;_-@_-"/>
    <numFmt numFmtId="217" formatCode="_-* #,##0_-;\-* #,##0_-;_-* &quot;-&quot;??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i/>
      <sz val="14"/>
      <name val="Tahoma"/>
      <family val="2"/>
    </font>
    <font>
      <i/>
      <sz val="14"/>
      <name val="Tahoma"/>
      <family val="2"/>
    </font>
    <font>
      <b/>
      <sz val="26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b/>
      <sz val="30"/>
      <name val="Tahoma"/>
      <family val="2"/>
    </font>
    <font>
      <sz val="14"/>
      <name val="Tahoma"/>
      <family val="2"/>
    </font>
    <font>
      <i/>
      <sz val="16"/>
      <name val="Tahoma"/>
      <family val="2"/>
    </font>
    <font>
      <b/>
      <sz val="20"/>
      <color indexed="18"/>
      <name val="Tahoma"/>
      <family val="2"/>
    </font>
    <font>
      <b/>
      <i/>
      <sz val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i/>
      <sz val="9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sz val="10"/>
      <color indexed="10"/>
      <name val="Tahoma"/>
      <family val="2"/>
    </font>
    <font>
      <i/>
      <sz val="11"/>
      <name val="Tahoma"/>
      <family val="2"/>
    </font>
    <font>
      <b/>
      <sz val="11"/>
      <color indexed="1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u val="single"/>
      <sz val="11"/>
      <name val="Tahoma"/>
      <family val="2"/>
    </font>
    <font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 indent="2"/>
    </xf>
    <xf numFmtId="43" fontId="22" fillId="0" borderId="0" xfId="18" applyFont="1" applyBorder="1" applyAlignment="1">
      <alignment/>
    </xf>
    <xf numFmtId="3" fontId="2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 wrapText="1"/>
    </xf>
    <xf numFmtId="3" fontId="22" fillId="0" borderId="13" xfId="0" applyNumberFormat="1" applyFont="1" applyBorder="1" applyAlignment="1">
      <alignment/>
    </xf>
    <xf numFmtId="0" fontId="19" fillId="0" borderId="10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3" fontId="19" fillId="0" borderId="0" xfId="18" applyFont="1" applyBorder="1" applyAlignment="1">
      <alignment/>
    </xf>
    <xf numFmtId="3" fontId="1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 wrapText="1"/>
    </xf>
    <xf numFmtId="0" fontId="5" fillId="0" borderId="13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3" fontId="20" fillId="0" borderId="0" xfId="18" applyFont="1" applyBorder="1" applyAlignment="1">
      <alignment/>
    </xf>
    <xf numFmtId="3" fontId="2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43" fontId="9" fillId="0" borderId="0" xfId="18" applyFont="1" applyBorder="1" applyAlignment="1">
      <alignment/>
    </xf>
    <xf numFmtId="43" fontId="19" fillId="0" borderId="14" xfId="18" applyFont="1" applyBorder="1" applyAlignment="1">
      <alignment/>
    </xf>
    <xf numFmtId="3" fontId="1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19" fillId="0" borderId="15" xfId="0" applyFont="1" applyBorder="1" applyAlignment="1">
      <alignment horizontal="right" wrapText="1"/>
    </xf>
    <xf numFmtId="3" fontId="19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left" wrapText="1"/>
    </xf>
    <xf numFmtId="3" fontId="5" fillId="0" borderId="0" xfId="0" applyNumberFormat="1" applyFont="1" applyAlignment="1">
      <alignment/>
    </xf>
    <xf numFmtId="0" fontId="24" fillId="2" borderId="17" xfId="0" applyFont="1" applyFill="1" applyBorder="1" applyAlignment="1">
      <alignment horizontal="left"/>
    </xf>
    <xf numFmtId="0" fontId="24" fillId="2" borderId="1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3" fontId="22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215" fontId="25" fillId="0" borderId="0" xfId="0" applyNumberFormat="1" applyFont="1" applyAlignment="1">
      <alignment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22" fillId="0" borderId="10" xfId="0" applyFont="1" applyFill="1" applyBorder="1" applyAlignment="1">
      <alignment horizontal="left" wrapText="1" indent="2"/>
    </xf>
    <xf numFmtId="43" fontId="22" fillId="0" borderId="0" xfId="18" applyFont="1" applyAlignment="1">
      <alignment/>
    </xf>
    <xf numFmtId="0" fontId="19" fillId="0" borderId="10" xfId="0" applyFont="1" applyFill="1" applyBorder="1" applyAlignment="1">
      <alignment horizontal="left" wrapText="1" indent="2"/>
    </xf>
    <xf numFmtId="41" fontId="9" fillId="0" borderId="13" xfId="0" applyNumberFormat="1" applyFont="1" applyBorder="1" applyAlignment="1">
      <alignment/>
    </xf>
    <xf numFmtId="0" fontId="20" fillId="0" borderId="10" xfId="0" applyFont="1" applyBorder="1" applyAlignment="1">
      <alignment horizontal="left" wrapText="1" indent="2"/>
    </xf>
    <xf numFmtId="0" fontId="20" fillId="0" borderId="0" xfId="0" applyFont="1" applyBorder="1" applyAlignment="1">
      <alignment horizontal="left" wrapText="1" indent="2"/>
    </xf>
    <xf numFmtId="0" fontId="20" fillId="0" borderId="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3" fontId="5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24" fillId="2" borderId="17" xfId="0" applyFont="1" applyFill="1" applyBorder="1" applyAlignment="1">
      <alignment/>
    </xf>
    <xf numFmtId="0" fontId="24" fillId="2" borderId="18" xfId="0" applyFont="1" applyFill="1" applyBorder="1" applyAlignment="1">
      <alignment/>
    </xf>
    <xf numFmtId="0" fontId="24" fillId="2" borderId="19" xfId="0" applyFont="1" applyFill="1" applyBorder="1" applyAlignment="1">
      <alignment/>
    </xf>
    <xf numFmtId="0" fontId="20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2" fillId="0" borderId="22" xfId="0" applyFont="1" applyBorder="1" applyAlignment="1">
      <alignment horizontal="right" wrapText="1"/>
    </xf>
    <xf numFmtId="43" fontId="5" fillId="0" borderId="22" xfId="18" applyFont="1" applyBorder="1" applyAlignment="1">
      <alignment/>
    </xf>
    <xf numFmtId="3" fontId="3" fillId="0" borderId="22" xfId="0" applyNumberFormat="1" applyFont="1" applyBorder="1" applyAlignment="1">
      <alignment vertical="center" wrapText="1"/>
    </xf>
    <xf numFmtId="0" fontId="19" fillId="0" borderId="22" xfId="0" applyFont="1" applyBorder="1" applyAlignment="1">
      <alignment horizontal="right" wrapText="1"/>
    </xf>
    <xf numFmtId="43" fontId="9" fillId="0" borderId="22" xfId="18" applyFont="1" applyBorder="1" applyAlignment="1">
      <alignment/>
    </xf>
    <xf numFmtId="3" fontId="4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wrapText="1" indent="2"/>
    </xf>
    <xf numFmtId="41" fontId="5" fillId="0" borderId="0" xfId="19" applyFont="1" applyAlignment="1">
      <alignment/>
    </xf>
    <xf numFmtId="0" fontId="26" fillId="0" borderId="17" xfId="0" applyFont="1" applyBorder="1" applyAlignment="1">
      <alignment horizontal="left" wrapText="1" indent="2"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43" fontId="5" fillId="0" borderId="0" xfId="18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43" fontId="19" fillId="0" borderId="22" xfId="18" applyFont="1" applyBorder="1" applyAlignment="1">
      <alignment/>
    </xf>
    <xf numFmtId="0" fontId="19" fillId="0" borderId="0" xfId="0" applyFont="1" applyAlignment="1">
      <alignment/>
    </xf>
    <xf numFmtId="43" fontId="27" fillId="0" borderId="22" xfId="18" applyFont="1" applyBorder="1" applyAlignment="1">
      <alignment/>
    </xf>
    <xf numFmtId="0" fontId="19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17" fontId="22" fillId="0" borderId="22" xfId="18" applyNumberFormat="1" applyFont="1" applyBorder="1" applyAlignment="1">
      <alignment/>
    </xf>
    <xf numFmtId="217" fontId="5" fillId="0" borderId="0" xfId="0" applyNumberFormat="1" applyFont="1" applyBorder="1" applyAlignment="1">
      <alignment/>
    </xf>
    <xf numFmtId="217" fontId="19" fillId="0" borderId="22" xfId="18" applyNumberFormat="1" applyFont="1" applyBorder="1" applyAlignment="1">
      <alignment/>
    </xf>
    <xf numFmtId="217" fontId="9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217" fontId="5" fillId="0" borderId="22" xfId="18" applyNumberFormat="1" applyFont="1" applyBorder="1" applyAlignment="1">
      <alignment/>
    </xf>
    <xf numFmtId="217" fontId="9" fillId="0" borderId="22" xfId="18" applyNumberFormat="1" applyFont="1" applyBorder="1" applyAlignment="1">
      <alignment/>
    </xf>
    <xf numFmtId="0" fontId="5" fillId="2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17" fontId="21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/>
    </xf>
    <xf numFmtId="3" fontId="1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19" fillId="0" borderId="0" xfId="18" applyFont="1" applyAlignment="1">
      <alignment/>
    </xf>
    <xf numFmtId="3" fontId="5" fillId="2" borderId="0" xfId="0" applyNumberFormat="1" applyFont="1" applyFill="1" applyAlignment="1">
      <alignment/>
    </xf>
    <xf numFmtId="0" fontId="5" fillId="2" borderId="17" xfId="0" applyFont="1" applyFill="1" applyBorder="1" applyAlignment="1">
      <alignment/>
    </xf>
    <xf numFmtId="0" fontId="19" fillId="2" borderId="19" xfId="0" applyFont="1" applyFill="1" applyBorder="1" applyAlignment="1">
      <alignment horizontal="right"/>
    </xf>
    <xf numFmtId="43" fontId="29" fillId="2" borderId="22" xfId="18" applyFont="1" applyFill="1" applyBorder="1" applyAlignment="1">
      <alignment/>
    </xf>
    <xf numFmtId="3" fontId="29" fillId="2" borderId="22" xfId="0" applyNumberFormat="1" applyFont="1" applyFill="1" applyBorder="1" applyAlignment="1">
      <alignment/>
    </xf>
    <xf numFmtId="0" fontId="19" fillId="0" borderId="0" xfId="0" applyFont="1" applyBorder="1" applyAlignment="1">
      <alignment horizontal="left" indent="14"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 wrapText="1" indent="14"/>
    </xf>
    <xf numFmtId="2" fontId="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43" fontId="9" fillId="0" borderId="0" xfId="18" applyFont="1" applyAlignment="1">
      <alignment/>
    </xf>
    <xf numFmtId="0" fontId="22" fillId="0" borderId="0" xfId="0" applyFont="1" applyAlignment="1">
      <alignment horizontal="left" wrapText="1" indent="2"/>
    </xf>
    <xf numFmtId="0" fontId="22" fillId="0" borderId="0" xfId="0" applyFont="1" applyAlignment="1">
      <alignment horizontal="left" wrapText="1"/>
    </xf>
    <xf numFmtId="43" fontId="2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2" fillId="0" borderId="12" xfId="0" applyFont="1" applyBorder="1" applyAlignment="1">
      <alignment horizontal="right" wrapText="1"/>
    </xf>
    <xf numFmtId="0" fontId="19" fillId="2" borderId="18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22" fillId="2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 indent="2"/>
    </xf>
    <xf numFmtId="0" fontId="29" fillId="0" borderId="0" xfId="0" applyFont="1" applyAlignment="1">
      <alignment/>
    </xf>
    <xf numFmtId="0" fontId="5" fillId="0" borderId="0" xfId="0" applyFont="1" applyFill="1" applyAlignment="1">
      <alignment/>
    </xf>
    <xf numFmtId="41" fontId="22" fillId="0" borderId="0" xfId="19" applyFont="1" applyAlignment="1">
      <alignment/>
    </xf>
    <xf numFmtId="0" fontId="22" fillId="0" borderId="0" xfId="20" applyFont="1" applyAlignment="1">
      <alignment horizontal="left" wrapText="1" indent="2"/>
      <protection/>
    </xf>
    <xf numFmtId="43" fontId="22" fillId="0" borderId="0" xfId="18" applyFont="1" applyAlignment="1">
      <alignment wrapText="1"/>
    </xf>
    <xf numFmtId="41" fontId="22" fillId="0" borderId="0" xfId="19" applyFont="1" applyAlignment="1">
      <alignment wrapText="1"/>
    </xf>
    <xf numFmtId="0" fontId="22" fillId="0" borderId="0" xfId="20" applyFont="1" applyAlignment="1">
      <alignment wrapText="1"/>
      <protection/>
    </xf>
    <xf numFmtId="0" fontId="19" fillId="0" borderId="0" xfId="0" applyFont="1" applyAlignment="1">
      <alignment horizontal="right"/>
    </xf>
    <xf numFmtId="43" fontId="20" fillId="0" borderId="0" xfId="18" applyFont="1" applyAlignment="1">
      <alignment wrapText="1"/>
    </xf>
    <xf numFmtId="41" fontId="20" fillId="0" borderId="0" xfId="19" applyFont="1" applyAlignment="1">
      <alignment wrapText="1"/>
    </xf>
    <xf numFmtId="41" fontId="19" fillId="0" borderId="0" xfId="19" applyFont="1" applyAlignment="1">
      <alignment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22" fillId="0" borderId="11" xfId="0" applyFont="1" applyBorder="1" applyAlignment="1">
      <alignment horizontal="right" wrapText="1"/>
    </xf>
    <xf numFmtId="0" fontId="22" fillId="0" borderId="0" xfId="0" applyFont="1" applyAlignment="1">
      <alignment horizontal="left" wrapText="1" indent="1"/>
    </xf>
    <xf numFmtId="0" fontId="5" fillId="2" borderId="18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2" fillId="0" borderId="10" xfId="0" applyNumberFormat="1" applyFont="1" applyFill="1" applyBorder="1" applyAlignment="1">
      <alignment/>
    </xf>
    <xf numFmtId="0" fontId="19" fillId="0" borderId="1" xfId="0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6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indent="2"/>
    </xf>
    <xf numFmtId="0" fontId="22" fillId="0" borderId="0" xfId="20" applyFont="1" applyAlignment="1">
      <alignment horizontal="right" indent="1"/>
      <protection/>
    </xf>
    <xf numFmtId="43" fontId="22" fillId="0" borderId="18" xfId="18" applyFont="1" applyBorder="1" applyAlignment="1">
      <alignment/>
    </xf>
    <xf numFmtId="43" fontId="19" fillId="0" borderId="0" xfId="0" applyNumberFormat="1" applyFont="1" applyAlignment="1">
      <alignment/>
    </xf>
    <xf numFmtId="0" fontId="33" fillId="0" borderId="0" xfId="20" applyFont="1">
      <alignment/>
      <protection/>
    </xf>
    <xf numFmtId="43" fontId="33" fillId="0" borderId="0" xfId="0" applyNumberFormat="1" applyFont="1" applyAlignment="1">
      <alignment/>
    </xf>
    <xf numFmtId="43" fontId="33" fillId="0" borderId="0" xfId="18" applyFont="1" applyAlignment="1">
      <alignment/>
    </xf>
    <xf numFmtId="43" fontId="33" fillId="0" borderId="14" xfId="18" applyFont="1" applyBorder="1" applyAlignment="1">
      <alignment/>
    </xf>
    <xf numFmtId="0" fontId="27" fillId="0" borderId="0" xfId="20" applyFont="1" applyAlignment="1">
      <alignment vertical="center"/>
      <protection/>
    </xf>
    <xf numFmtId="0" fontId="19" fillId="0" borderId="14" xfId="0" applyFont="1" applyBorder="1" applyAlignment="1">
      <alignment horizontal="left" wrapText="1"/>
    </xf>
    <xf numFmtId="0" fontId="19" fillId="0" borderId="14" xfId="0" applyFont="1" applyBorder="1" applyAlignment="1">
      <alignment horizontal="center" wrapText="1"/>
    </xf>
    <xf numFmtId="43" fontId="27" fillId="0" borderId="0" xfId="18" applyFont="1" applyAlignment="1">
      <alignment/>
    </xf>
    <xf numFmtId="0" fontId="19" fillId="0" borderId="0" xfId="0" applyFont="1" applyAlignment="1">
      <alignment horizontal="left"/>
    </xf>
    <xf numFmtId="0" fontId="26" fillId="0" borderId="0" xfId="0" applyFont="1" applyAlignment="1">
      <alignment/>
    </xf>
    <xf numFmtId="0" fontId="19" fillId="0" borderId="17" xfId="0" applyFont="1" applyBorder="1" applyAlignment="1">
      <alignment horizontal="right"/>
    </xf>
    <xf numFmtId="43" fontId="18" fillId="0" borderId="19" xfId="18" applyFont="1" applyBorder="1" applyAlignment="1">
      <alignment/>
    </xf>
    <xf numFmtId="1" fontId="9" fillId="0" borderId="0" xfId="0" applyNumberFormat="1" applyFont="1" applyAlignment="1">
      <alignment/>
    </xf>
    <xf numFmtId="43" fontId="19" fillId="0" borderId="0" xfId="18" applyFont="1" applyAlignment="1">
      <alignment horizontal="center" wrapText="1"/>
    </xf>
    <xf numFmtId="0" fontId="34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0" fillId="0" borderId="0" xfId="0" applyFont="1" applyAlignment="1">
      <alignment/>
    </xf>
    <xf numFmtId="43" fontId="19" fillId="0" borderId="23" xfId="18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14" xfId="0" applyFont="1" applyBorder="1" applyAlignment="1">
      <alignment/>
    </xf>
    <xf numFmtId="43" fontId="34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43" fontId="29" fillId="0" borderId="22" xfId="18" applyFont="1" applyBorder="1" applyAlignment="1">
      <alignment/>
    </xf>
    <xf numFmtId="0" fontId="5" fillId="0" borderId="0" xfId="0" applyFont="1" applyAlignment="1">
      <alignment horizontal="left" indent="2"/>
    </xf>
    <xf numFmtId="0" fontId="25" fillId="0" borderId="0" xfId="0" applyFont="1" applyAlignment="1">
      <alignment horizontal="left" wrapText="1" indent="2"/>
    </xf>
    <xf numFmtId="0" fontId="25" fillId="0" borderId="0" xfId="0" applyFont="1" applyAlignment="1">
      <alignment horizontal="left" indent="2"/>
    </xf>
    <xf numFmtId="1" fontId="25" fillId="0" borderId="0" xfId="0" applyNumberFormat="1" applyFont="1" applyAlignment="1">
      <alignment/>
    </xf>
    <xf numFmtId="43" fontId="23" fillId="0" borderId="0" xfId="18" applyFont="1" applyAlignment="1">
      <alignment/>
    </xf>
    <xf numFmtId="43" fontId="25" fillId="0" borderId="0" xfId="18" applyFont="1" applyAlignment="1">
      <alignment/>
    </xf>
    <xf numFmtId="43" fontId="25" fillId="0" borderId="14" xfId="18" applyFont="1" applyBorder="1" applyAlignment="1">
      <alignment/>
    </xf>
    <xf numFmtId="43" fontId="34" fillId="0" borderId="0" xfId="18" applyFont="1" applyAlignment="1">
      <alignment/>
    </xf>
    <xf numFmtId="43" fontId="33" fillId="0" borderId="0" xfId="20" applyNumberFormat="1" applyFont="1">
      <alignment/>
      <protection/>
    </xf>
    <xf numFmtId="3" fontId="5" fillId="0" borderId="0" xfId="0" applyNumberFormat="1" applyFont="1" applyAlignment="1">
      <alignment horizontal="right"/>
    </xf>
    <xf numFmtId="0" fontId="5" fillId="0" borderId="0" xfId="20" applyFont="1">
      <alignment/>
      <protection/>
    </xf>
    <xf numFmtId="0" fontId="19" fillId="0" borderId="15" xfId="0" applyFont="1" applyBorder="1" applyAlignment="1">
      <alignment horizontal="left" wrapText="1"/>
    </xf>
    <xf numFmtId="0" fontId="22" fillId="0" borderId="0" xfId="20" applyFont="1" applyAlignment="1">
      <alignment horizontal="left" indent="1"/>
      <protection/>
    </xf>
    <xf numFmtId="3" fontId="5" fillId="0" borderId="0" xfId="20" applyNumberFormat="1" applyFont="1">
      <alignment/>
      <protection/>
    </xf>
    <xf numFmtId="0" fontId="20" fillId="0" borderId="0" xfId="20" applyFont="1" applyAlignment="1">
      <alignment horizontal="left" wrapText="1" indent="2"/>
      <protection/>
    </xf>
    <xf numFmtId="43" fontId="20" fillId="0" borderId="0" xfId="18" applyFont="1" applyAlignment="1">
      <alignment/>
    </xf>
    <xf numFmtId="3" fontId="25" fillId="0" borderId="0" xfId="20" applyNumberFormat="1" applyFont="1">
      <alignment/>
      <protection/>
    </xf>
    <xf numFmtId="0" fontId="19" fillId="0" borderId="0" xfId="20" applyFont="1">
      <alignment/>
      <protection/>
    </xf>
    <xf numFmtId="0" fontId="9" fillId="0" borderId="0" xfId="20" applyFont="1">
      <alignment/>
      <protection/>
    </xf>
    <xf numFmtId="0" fontId="22" fillId="0" borderId="0" xfId="20" applyFont="1" applyAlignment="1">
      <alignment horizontal="right" wrapText="1"/>
      <protection/>
    </xf>
    <xf numFmtId="0" fontId="22" fillId="0" borderId="0" xfId="20" applyFont="1">
      <alignment/>
      <protection/>
    </xf>
    <xf numFmtId="0" fontId="22" fillId="0" borderId="0" xfId="20" applyFont="1" applyAlignment="1">
      <alignment horizontal="left" indent="2"/>
      <protection/>
    </xf>
    <xf numFmtId="0" fontId="22" fillId="0" borderId="0" xfId="20" applyFont="1" applyAlignment="1">
      <alignment horizontal="right" indent="2"/>
      <protection/>
    </xf>
    <xf numFmtId="0" fontId="5" fillId="0" borderId="0" xfId="20" applyFont="1" applyAlignment="1">
      <alignment wrapText="1"/>
      <protection/>
    </xf>
    <xf numFmtId="0" fontId="25" fillId="0" borderId="0" xfId="20" applyFont="1">
      <alignment/>
      <protection/>
    </xf>
    <xf numFmtId="3" fontId="22" fillId="0" borderId="0" xfId="20" applyNumberFormat="1" applyFont="1">
      <alignment/>
      <protection/>
    </xf>
    <xf numFmtId="0" fontId="5" fillId="0" borderId="0" xfId="20" applyFont="1" applyAlignment="1">
      <alignment horizontal="left" wrapText="1" indent="2"/>
      <protection/>
    </xf>
    <xf numFmtId="0" fontId="26" fillId="0" borderId="0" xfId="20" applyFont="1" applyAlignment="1">
      <alignment horizontal="right" wrapText="1" indent="2"/>
      <protection/>
    </xf>
    <xf numFmtId="43" fontId="26" fillId="0" borderId="0" xfId="18" applyFont="1" applyAlignment="1">
      <alignment/>
    </xf>
    <xf numFmtId="0" fontId="32" fillId="0" borderId="0" xfId="0" applyFont="1" applyAlignment="1">
      <alignment horizontal="left"/>
    </xf>
    <xf numFmtId="0" fontId="19" fillId="0" borderId="17" xfId="0" applyFont="1" applyBorder="1" applyAlignment="1">
      <alignment horizontal="center" wrapText="1"/>
    </xf>
    <xf numFmtId="43" fontId="19" fillId="0" borderId="19" xfId="18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0" fillId="0" borderId="0" xfId="20" applyFont="1" applyAlignment="1">
      <alignment horizontal="right" wrapText="1" indent="2"/>
      <protection/>
    </xf>
    <xf numFmtId="3" fontId="30" fillId="0" borderId="0" xfId="20" applyNumberFormat="1" applyFont="1">
      <alignment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left" wrapText="1" indent="2"/>
      <protection/>
    </xf>
    <xf numFmtId="46" fontId="9" fillId="0" borderId="0" xfId="0" applyNumberFormat="1" applyFont="1" applyAlignment="1">
      <alignment horizontal="center" wrapText="1"/>
    </xf>
    <xf numFmtId="3" fontId="26" fillId="0" borderId="0" xfId="20" applyNumberFormat="1" applyFont="1">
      <alignment/>
      <protection/>
    </xf>
    <xf numFmtId="43" fontId="22" fillId="0" borderId="14" xfId="18" applyFont="1" applyBorder="1" applyAlignment="1">
      <alignment/>
    </xf>
    <xf numFmtId="0" fontId="25" fillId="0" borderId="14" xfId="20" applyFont="1" applyBorder="1">
      <alignment/>
      <protection/>
    </xf>
    <xf numFmtId="43" fontId="34" fillId="0" borderId="0" xfId="20" applyNumberFormat="1" applyFont="1" applyAlignment="1">
      <alignment vertical="center"/>
      <protection/>
    </xf>
    <xf numFmtId="3" fontId="9" fillId="0" borderId="0" xfId="20" applyNumberFormat="1" applyFont="1">
      <alignment/>
      <protection/>
    </xf>
    <xf numFmtId="43" fontId="31" fillId="0" borderId="0" xfId="18" applyFont="1" applyBorder="1" applyAlignment="1">
      <alignment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9" fillId="0" borderId="10" xfId="0" applyFont="1" applyBorder="1" applyAlignment="1">
      <alignment horizontal="left" wrapText="1" indent="2"/>
    </xf>
    <xf numFmtId="0" fontId="19" fillId="0" borderId="0" xfId="0" applyFont="1" applyBorder="1" applyAlignment="1">
      <alignment horizontal="left" wrapText="1" indent="2"/>
    </xf>
    <xf numFmtId="0" fontId="22" fillId="0" borderId="10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 indent="2"/>
    </xf>
    <xf numFmtId="0" fontId="22" fillId="0" borderId="0" xfId="0" applyFont="1" applyBorder="1" applyAlignment="1">
      <alignment horizontal="left" wrapText="1" indent="2"/>
    </xf>
    <xf numFmtId="0" fontId="16" fillId="5" borderId="2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9" fillId="0" borderId="1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center"/>
    </xf>
    <xf numFmtId="3" fontId="19" fillId="2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22" fillId="0" borderId="0" xfId="0" applyFont="1" applyAlignment="1">
      <alignment horizontal="left" wrapText="1" indent="14"/>
    </xf>
    <xf numFmtId="0" fontId="19" fillId="0" borderId="1" xfId="0" applyFont="1" applyBorder="1" applyAlignment="1">
      <alignment horizontal="left" indent="14"/>
    </xf>
    <xf numFmtId="0" fontId="29" fillId="2" borderId="17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indent="14"/>
    </xf>
    <xf numFmtId="0" fontId="28" fillId="5" borderId="24" xfId="0" applyFont="1" applyFill="1" applyBorder="1" applyAlignment="1">
      <alignment horizontal="center"/>
    </xf>
    <xf numFmtId="0" fontId="28" fillId="5" borderId="25" xfId="0" applyFont="1" applyFill="1" applyBorder="1" applyAlignment="1">
      <alignment horizontal="center"/>
    </xf>
    <xf numFmtId="0" fontId="28" fillId="5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2" fillId="0" borderId="0" xfId="0" applyFont="1" applyAlignment="1">
      <alignment horizontal="left" wrapText="1" indent="15"/>
    </xf>
    <xf numFmtId="0" fontId="28" fillId="5" borderId="29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9" fillId="2" borderId="17" xfId="0" applyFont="1" applyFill="1" applyBorder="1" applyAlignment="1">
      <alignment horizontal="center" wrapText="1"/>
    </xf>
    <xf numFmtId="0" fontId="29" fillId="2" borderId="18" xfId="0" applyFont="1" applyFill="1" applyBorder="1" applyAlignment="1">
      <alignment horizontal="center" wrapText="1"/>
    </xf>
    <xf numFmtId="0" fontId="29" fillId="2" borderId="19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modellodi bilancio" xfId="20"/>
    <cellStyle name="Percent" xfId="21"/>
    <cellStyle name="Currency" xfId="22"/>
    <cellStyle name="Valuta (0)_bilancioprev2004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133350</xdr:rowOff>
    </xdr:from>
    <xdr:to>
      <xdr:col>8</xdr:col>
      <xdr:colOff>123825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04800"/>
          <a:ext cx="1390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5</xdr:col>
      <xdr:colOff>371475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133350</xdr:rowOff>
    </xdr:from>
    <xdr:to>
      <xdr:col>5</xdr:col>
      <xdr:colOff>419100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95275"/>
          <a:ext cx="107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Normal="75" workbookViewId="0" topLeftCell="A1">
      <selection activeCell="A1" sqref="A1:IV1638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10.140625" style="2" bestFit="1" customWidth="1"/>
    <col min="4" max="4" width="8.8515625" style="2" customWidth="1"/>
    <col min="5" max="11" width="9.140625" style="2" customWidth="1"/>
    <col min="12" max="12" width="15.8515625" style="2" customWidth="1"/>
    <col min="13" max="13" width="13.57421875" style="2" customWidth="1"/>
    <col min="14" max="16384" width="9.140625" style="2" customWidth="1"/>
  </cols>
  <sheetData>
    <row r="1" spans="1:13" ht="13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</row>
    <row r="3" spans="1:13" ht="12.75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/>
    </row>
    <row r="4" spans="1:13" ht="12.7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5"/>
    </row>
    <row r="5" spans="1:13" ht="12.7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"/>
    </row>
    <row r="6" spans="1:13" ht="12.75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5"/>
    </row>
    <row r="7" spans="1:13" ht="12.75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5"/>
    </row>
    <row r="8" spans="1:13" ht="12.75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5"/>
    </row>
    <row r="9" spans="1:13" ht="12.7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5"/>
    </row>
    <row r="10" spans="1:13" ht="12.75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5"/>
    </row>
    <row r="11" spans="1:13" ht="12.7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5"/>
    </row>
    <row r="12" spans="1:13" ht="12.75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5"/>
    </row>
    <row r="13" spans="1:13" ht="12.7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5"/>
    </row>
    <row r="14" spans="1:13" ht="30">
      <c r="A14" s="14"/>
      <c r="B14" s="3"/>
      <c r="C14" s="279" t="s">
        <v>55</v>
      </c>
      <c r="D14" s="279"/>
      <c r="E14" s="279"/>
      <c r="F14" s="279"/>
      <c r="G14" s="279"/>
      <c r="H14" s="279"/>
      <c r="I14" s="279"/>
      <c r="J14" s="279"/>
      <c r="K14" s="279"/>
      <c r="L14" s="279"/>
      <c r="M14" s="15"/>
    </row>
    <row r="15" spans="1:13" ht="46.5" customHeight="1">
      <c r="A15" s="14"/>
      <c r="B15" s="280" t="s">
        <v>54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1"/>
    </row>
    <row r="16" spans="1:13" ht="12.7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</row>
    <row r="17" spans="1:13" ht="13.5" thickBot="1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5"/>
    </row>
    <row r="18" spans="1:13" ht="12.75" customHeight="1" thickTop="1">
      <c r="A18" s="14"/>
      <c r="B18" s="3"/>
      <c r="C18" s="270" t="s">
        <v>225</v>
      </c>
      <c r="D18" s="271"/>
      <c r="E18" s="271"/>
      <c r="F18" s="271"/>
      <c r="G18" s="271"/>
      <c r="H18" s="271"/>
      <c r="I18" s="271"/>
      <c r="J18" s="271"/>
      <c r="K18" s="271"/>
      <c r="L18" s="272"/>
      <c r="M18" s="15"/>
    </row>
    <row r="19" spans="1:13" ht="12.75" customHeight="1">
      <c r="A19" s="14"/>
      <c r="B19" s="3"/>
      <c r="C19" s="273"/>
      <c r="D19" s="274"/>
      <c r="E19" s="274"/>
      <c r="F19" s="274"/>
      <c r="G19" s="274"/>
      <c r="H19" s="274"/>
      <c r="I19" s="274"/>
      <c r="J19" s="274"/>
      <c r="K19" s="274"/>
      <c r="L19" s="275"/>
      <c r="M19" s="15"/>
    </row>
    <row r="20" spans="1:13" ht="12.75" customHeight="1">
      <c r="A20" s="14"/>
      <c r="B20" s="3"/>
      <c r="C20" s="273"/>
      <c r="D20" s="274"/>
      <c r="E20" s="274"/>
      <c r="F20" s="274"/>
      <c r="G20" s="274"/>
      <c r="H20" s="274"/>
      <c r="I20" s="274"/>
      <c r="J20" s="274"/>
      <c r="K20" s="274"/>
      <c r="L20" s="275"/>
      <c r="M20" s="15"/>
    </row>
    <row r="21" spans="1:13" ht="12.75" customHeight="1">
      <c r="A21" s="14"/>
      <c r="B21" s="3"/>
      <c r="C21" s="273"/>
      <c r="D21" s="274"/>
      <c r="E21" s="274"/>
      <c r="F21" s="274"/>
      <c r="G21" s="274"/>
      <c r="H21" s="274"/>
      <c r="I21" s="274"/>
      <c r="J21" s="274"/>
      <c r="K21" s="274"/>
      <c r="L21" s="275"/>
      <c r="M21" s="15"/>
    </row>
    <row r="22" spans="1:13" ht="18.75" customHeight="1" thickBot="1">
      <c r="A22" s="14"/>
      <c r="B22" s="3"/>
      <c r="C22" s="273"/>
      <c r="D22" s="274"/>
      <c r="E22" s="274"/>
      <c r="F22" s="274"/>
      <c r="G22" s="274"/>
      <c r="H22" s="274"/>
      <c r="I22" s="274"/>
      <c r="J22" s="274"/>
      <c r="K22" s="274"/>
      <c r="L22" s="275"/>
      <c r="M22" s="15"/>
    </row>
    <row r="23" spans="1:13" ht="12.75" customHeight="1" hidden="1">
      <c r="A23" s="14"/>
      <c r="B23" s="3"/>
      <c r="C23" s="273"/>
      <c r="D23" s="274"/>
      <c r="E23" s="274"/>
      <c r="F23" s="274"/>
      <c r="G23" s="274"/>
      <c r="H23" s="274"/>
      <c r="I23" s="274"/>
      <c r="J23" s="274"/>
      <c r="K23" s="274"/>
      <c r="L23" s="275"/>
      <c r="M23" s="15"/>
    </row>
    <row r="24" spans="1:13" ht="12.75" customHeight="1" hidden="1">
      <c r="A24" s="14"/>
      <c r="B24" s="3"/>
      <c r="C24" s="276"/>
      <c r="D24" s="277"/>
      <c r="E24" s="277"/>
      <c r="F24" s="277"/>
      <c r="G24" s="277"/>
      <c r="H24" s="277"/>
      <c r="I24" s="277"/>
      <c r="J24" s="277"/>
      <c r="K24" s="277"/>
      <c r="L24" s="278"/>
      <c r="M24" s="15"/>
    </row>
    <row r="25" spans="1:13" ht="13.5" thickTop="1">
      <c r="A25" s="14"/>
      <c r="B25" s="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  <row r="26" spans="1:13" ht="12.75">
      <c r="A26" s="1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5"/>
    </row>
    <row r="27" spans="1:13" ht="12.75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5"/>
    </row>
    <row r="28" spans="1:13" ht="12.75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5"/>
    </row>
    <row r="29" spans="1:13" ht="12.7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5"/>
    </row>
    <row r="30" spans="1:13" ht="18">
      <c r="A30" s="14"/>
      <c r="B30" s="3"/>
      <c r="C30" s="17"/>
      <c r="D30" s="3"/>
      <c r="E30" s="3"/>
      <c r="F30" s="3"/>
      <c r="G30" s="3"/>
      <c r="H30" s="3"/>
      <c r="I30" s="3"/>
      <c r="J30" s="3"/>
      <c r="K30" s="3"/>
      <c r="L30" s="3"/>
      <c r="M30" s="15"/>
    </row>
    <row r="31" spans="1:13" ht="12.75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5"/>
    </row>
    <row r="32" spans="1:13" ht="12.7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5"/>
    </row>
    <row r="33" spans="1:13" ht="13.5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/>
  </sheetData>
  <mergeCells count="3">
    <mergeCell ref="C18:L24"/>
    <mergeCell ref="C14:L14"/>
    <mergeCell ref="B15:M15"/>
  </mergeCells>
  <printOptions horizontalCentered="1" verticalCentered="1"/>
  <pageMargins left="0.7874015748031497" right="0.7874015748031497" top="0.9055118110236221" bottom="0.35433070866141736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="60" workbookViewId="0" topLeftCell="A1">
      <selection activeCell="D20" sqref="D20"/>
    </sheetView>
  </sheetViews>
  <sheetFormatPr defaultColWidth="9.140625" defaultRowHeight="12.75"/>
  <cols>
    <col min="1" max="1" width="44.00390625" style="2" bestFit="1" customWidth="1"/>
    <col min="2" max="2" width="16.57421875" style="2" bestFit="1" customWidth="1"/>
    <col min="3" max="3" width="9.140625" style="2" customWidth="1"/>
    <col min="4" max="4" width="64.8515625" style="2" bestFit="1" customWidth="1"/>
    <col min="5" max="5" width="16.7109375" style="109" customWidth="1"/>
    <col min="6" max="7" width="9.140625" style="2" customWidth="1"/>
    <col min="8" max="8" width="16.421875" style="2" customWidth="1"/>
    <col min="9" max="16384" width="9.140625" style="2" customWidth="1"/>
  </cols>
  <sheetData>
    <row r="1" spans="1:5" ht="20.25" customHeight="1">
      <c r="A1" s="340" t="s">
        <v>226</v>
      </c>
      <c r="B1" s="340"/>
      <c r="C1" s="340"/>
      <c r="D1" s="340"/>
      <c r="E1" s="340"/>
    </row>
    <row r="2" spans="1:5" ht="23.25" customHeight="1" thickBot="1">
      <c r="A2" s="348" t="s">
        <v>62</v>
      </c>
      <c r="B2" s="348"/>
      <c r="C2" s="348"/>
      <c r="D2" s="348"/>
      <c r="E2" s="348"/>
    </row>
    <row r="3" spans="1:5" ht="26.25" customHeight="1" thickBot="1">
      <c r="A3" s="337" t="s">
        <v>57</v>
      </c>
      <c r="B3" s="338"/>
      <c r="C3" s="338"/>
      <c r="D3" s="338"/>
      <c r="E3" s="338"/>
    </row>
    <row r="4" spans="1:3" ht="9" customHeight="1">
      <c r="A4" s="6"/>
      <c r="B4" s="6"/>
      <c r="C4" s="6"/>
    </row>
    <row r="5" spans="1:5" ht="15">
      <c r="A5" s="322" t="s">
        <v>15</v>
      </c>
      <c r="B5" s="323"/>
      <c r="C5" s="132"/>
      <c r="D5" s="322" t="s">
        <v>16</v>
      </c>
      <c r="E5" s="323"/>
    </row>
    <row r="6" spans="1:8" ht="28.5">
      <c r="A6" s="6"/>
      <c r="B6" s="196" t="s">
        <v>233</v>
      </c>
      <c r="D6" s="197" t="s">
        <v>294</v>
      </c>
      <c r="E6" s="215" t="s">
        <v>227</v>
      </c>
      <c r="G6" s="56"/>
      <c r="H6" s="216"/>
    </row>
    <row r="7" spans="1:8" ht="14.25">
      <c r="A7" s="54" t="s">
        <v>19</v>
      </c>
      <c r="B7" s="81">
        <f>5826-2229</f>
        <v>3597</v>
      </c>
      <c r="D7" s="198" t="s">
        <v>188</v>
      </c>
      <c r="E7" s="81">
        <f>122727.92+8264.27</f>
        <v>130992.19</v>
      </c>
      <c r="F7" s="217"/>
      <c r="H7" s="218"/>
    </row>
    <row r="8" spans="1:6" ht="14.25">
      <c r="A8" s="54" t="s">
        <v>29</v>
      </c>
      <c r="B8" s="81">
        <f>60000+5000+1000</f>
        <v>66000</v>
      </c>
      <c r="D8" s="198" t="s">
        <v>76</v>
      </c>
      <c r="E8" s="81">
        <v>65539.06</v>
      </c>
      <c r="F8" s="217"/>
    </row>
    <row r="9" spans="1:8" ht="14.25">
      <c r="A9" s="54" t="s">
        <v>18</v>
      </c>
      <c r="B9" s="81">
        <v>152859</v>
      </c>
      <c r="D9" s="198" t="s">
        <v>140</v>
      </c>
      <c r="E9" s="81">
        <v>6949.31</v>
      </c>
      <c r="F9" s="150"/>
      <c r="H9" s="214"/>
    </row>
    <row r="10" spans="1:6" ht="14.25">
      <c r="A10" s="113" t="s">
        <v>8</v>
      </c>
      <c r="B10" s="112">
        <f>SUM(B7:B9)</f>
        <v>222456</v>
      </c>
      <c r="D10" s="198" t="s">
        <v>172</v>
      </c>
      <c r="E10" s="81">
        <v>12500</v>
      </c>
      <c r="F10" s="219"/>
    </row>
    <row r="11" spans="1:6" ht="14.25">
      <c r="A11" s="6"/>
      <c r="C11" s="214"/>
      <c r="D11" s="198"/>
      <c r="E11" s="81"/>
      <c r="F11" s="219"/>
    </row>
    <row r="12" spans="1:6" ht="14.25">
      <c r="A12" s="6"/>
      <c r="C12" s="214"/>
      <c r="D12" s="198"/>
      <c r="E12" s="81"/>
      <c r="F12" s="219"/>
    </row>
    <row r="13" spans="1:6" ht="15" thickBot="1">
      <c r="A13" s="6"/>
      <c r="C13" s="214"/>
      <c r="D13" s="199"/>
      <c r="E13" s="81"/>
      <c r="F13" s="219"/>
    </row>
    <row r="14" spans="1:6" ht="15" thickBot="1">
      <c r="A14" s="6"/>
      <c r="C14" s="214"/>
      <c r="D14" s="171" t="s">
        <v>66</v>
      </c>
      <c r="E14" s="220">
        <f>SUM(E7:E13)</f>
        <v>215980.56</v>
      </c>
      <c r="F14" s="219"/>
    </row>
    <row r="15" spans="1:8" ht="28.5">
      <c r="A15" s="202" t="s">
        <v>244</v>
      </c>
      <c r="B15" s="221">
        <f>B10-E32</f>
        <v>-2669.5</v>
      </c>
      <c r="D15" s="197" t="s">
        <v>295</v>
      </c>
      <c r="E15" s="81"/>
      <c r="H15" s="218"/>
    </row>
    <row r="16" spans="1:8" ht="15" thickBot="1">
      <c r="A16" s="202" t="s">
        <v>245</v>
      </c>
      <c r="B16" s="128">
        <f>244.45+2.37+110</f>
        <v>356.82</v>
      </c>
      <c r="D16" s="167" t="s">
        <v>77</v>
      </c>
      <c r="E16" s="81">
        <v>910.6</v>
      </c>
      <c r="H16" s="218"/>
    </row>
    <row r="17" spans="1:8" ht="15" thickBot="1">
      <c r="A17" s="202" t="s">
        <v>246</v>
      </c>
      <c r="B17" s="222">
        <v>0</v>
      </c>
      <c r="D17" s="171" t="s">
        <v>65</v>
      </c>
      <c r="E17" s="220">
        <f>SUM(E16:E16)</f>
        <v>910.6</v>
      </c>
      <c r="H17" s="218"/>
    </row>
    <row r="18" spans="1:8" ht="28.5">
      <c r="A18" s="206" t="s">
        <v>247</v>
      </c>
      <c r="B18" s="223">
        <f>SUM(B15:B17)</f>
        <v>-2312.68</v>
      </c>
      <c r="D18" s="197" t="s">
        <v>296</v>
      </c>
      <c r="E18" s="81"/>
      <c r="H18" s="218"/>
    </row>
    <row r="19" spans="1:8" ht="14.25">
      <c r="A19" s="6"/>
      <c r="C19" s="157"/>
      <c r="D19" s="153" t="s">
        <v>134</v>
      </c>
      <c r="E19" s="81">
        <v>0</v>
      </c>
      <c r="H19" s="218"/>
    </row>
    <row r="20" spans="4:5" ht="14.25">
      <c r="D20" s="153" t="s">
        <v>81</v>
      </c>
      <c r="E20" s="81">
        <v>2000</v>
      </c>
    </row>
    <row r="21" spans="4:5" ht="14.25">
      <c r="D21" s="153" t="s">
        <v>35</v>
      </c>
      <c r="E21" s="81">
        <v>360</v>
      </c>
    </row>
    <row r="22" spans="4:5" ht="14.25">
      <c r="D22" s="153" t="s">
        <v>33</v>
      </c>
      <c r="E22" s="81">
        <v>624</v>
      </c>
    </row>
    <row r="23" spans="4:5" ht="14.25">
      <c r="D23" s="153" t="s">
        <v>173</v>
      </c>
      <c r="E23" s="81">
        <v>500</v>
      </c>
    </row>
    <row r="24" spans="4:5" ht="14.25">
      <c r="D24" s="153" t="s">
        <v>187</v>
      </c>
      <c r="E24" s="81">
        <v>0</v>
      </c>
    </row>
    <row r="25" spans="4:5" ht="14.25">
      <c r="D25" s="153" t="s">
        <v>174</v>
      </c>
      <c r="E25" s="81">
        <f>420+98</f>
        <v>518</v>
      </c>
    </row>
    <row r="26" spans="4:5" ht="14.25">
      <c r="D26" s="153" t="s">
        <v>132</v>
      </c>
      <c r="E26" s="81">
        <v>0</v>
      </c>
    </row>
    <row r="27" spans="4:5" ht="15" thickBot="1">
      <c r="D27" s="153" t="s">
        <v>234</v>
      </c>
      <c r="E27" s="81">
        <f>1158.14+500+816+105</f>
        <v>2579.1400000000003</v>
      </c>
    </row>
    <row r="28" spans="4:5" ht="15" thickBot="1">
      <c r="D28" s="171" t="s">
        <v>71</v>
      </c>
      <c r="E28" s="220">
        <f>SUM(E19:E27)</f>
        <v>6581.14</v>
      </c>
    </row>
    <row r="29" spans="4:5" ht="29.25" thickBot="1">
      <c r="D29" s="197" t="s">
        <v>298</v>
      </c>
      <c r="E29" s="81"/>
    </row>
    <row r="30" spans="4:8" ht="15" thickBot="1">
      <c r="D30" s="153" t="s">
        <v>232</v>
      </c>
      <c r="E30" s="220">
        <f>810.27+842.93</f>
        <v>1653.1999999999998</v>
      </c>
      <c r="H30" s="218"/>
    </row>
    <row r="31" spans="4:5" ht="14.25">
      <c r="D31" s="171"/>
      <c r="E31" s="81"/>
    </row>
    <row r="32" spans="4:5" ht="15">
      <c r="D32" s="224" t="s">
        <v>74</v>
      </c>
      <c r="E32" s="225">
        <f>E30+E28+E17+E14</f>
        <v>225125.5</v>
      </c>
    </row>
    <row r="34" spans="2:8" ht="12.75">
      <c r="B34" s="6"/>
      <c r="C34" s="56"/>
      <c r="H34" s="218"/>
    </row>
    <row r="35" spans="2:8" ht="12.75">
      <c r="B35" s="6"/>
      <c r="C35" s="56"/>
      <c r="H35" s="214"/>
    </row>
    <row r="36" spans="1:3" ht="12.75">
      <c r="A36" s="6"/>
      <c r="C36" s="214"/>
    </row>
    <row r="37" spans="1:3" ht="12.75">
      <c r="A37" s="6"/>
      <c r="C37" s="214"/>
    </row>
    <row r="38" spans="1:3" ht="12.75">
      <c r="A38" s="6"/>
      <c r="B38" s="6"/>
      <c r="C38" s="6"/>
    </row>
    <row r="39" ht="12.75">
      <c r="A39" s="6"/>
    </row>
    <row r="40" ht="12.75">
      <c r="C40" s="6"/>
    </row>
    <row r="41" ht="12.75">
      <c r="A41" s="6"/>
    </row>
    <row r="42" spans="1:2" ht="12.75">
      <c r="A42" s="226"/>
      <c r="B42" s="56"/>
    </row>
    <row r="43" ht="12.75">
      <c r="C43" s="157"/>
    </row>
    <row r="44" spans="1:2" ht="12.75">
      <c r="A44" s="6"/>
      <c r="B44" s="56"/>
    </row>
    <row r="45" spans="1:2" ht="12.75">
      <c r="A45" s="163"/>
      <c r="B45" s="56"/>
    </row>
    <row r="47" ht="12.75">
      <c r="C47" s="157"/>
    </row>
    <row r="48" spans="1:3" ht="12.75">
      <c r="A48" s="6"/>
      <c r="C48" s="157"/>
    </row>
    <row r="49" ht="12.75">
      <c r="C49" s="157"/>
    </row>
    <row r="50" spans="1:3" ht="12.75">
      <c r="A50" s="6"/>
      <c r="C50" s="157"/>
    </row>
    <row r="51" spans="1:3" ht="12.75">
      <c r="A51" s="163"/>
      <c r="B51" s="56"/>
      <c r="C51" s="157"/>
    </row>
    <row r="52" spans="2:8" ht="12.75">
      <c r="B52" s="56"/>
      <c r="C52" s="157"/>
      <c r="H52" s="218"/>
    </row>
    <row r="53" spans="1:3" ht="12.75">
      <c r="A53" s="6"/>
      <c r="B53" s="56"/>
      <c r="C53" s="214"/>
    </row>
    <row r="54" spans="1:3" ht="12.75">
      <c r="A54" s="6"/>
      <c r="C54" s="214"/>
    </row>
    <row r="55" spans="1:3" ht="12.75">
      <c r="A55" s="358"/>
      <c r="B55" s="358"/>
      <c r="C55" s="358"/>
    </row>
    <row r="56" ht="12.75">
      <c r="D56" s="175"/>
    </row>
    <row r="57" spans="1:8" ht="12.75">
      <c r="A57" s="6"/>
      <c r="C57" s="6"/>
      <c r="H57" s="175"/>
    </row>
    <row r="58" spans="2:8" ht="12.75">
      <c r="B58" s="6"/>
      <c r="H58" s="218"/>
    </row>
    <row r="59" spans="2:8" ht="12.75">
      <c r="B59" s="6"/>
      <c r="C59" s="218"/>
      <c r="H59" s="214"/>
    </row>
    <row r="60" spans="1:3" ht="12.75">
      <c r="A60" s="6"/>
      <c r="C60" s="214"/>
    </row>
    <row r="61" spans="1:3" ht="12.75">
      <c r="A61" s="6"/>
      <c r="C61" s="214"/>
    </row>
    <row r="62" spans="1:3" ht="12.75">
      <c r="A62" s="6"/>
      <c r="B62" s="6"/>
      <c r="C62" s="6"/>
    </row>
    <row r="63" spans="2:3" ht="12.75">
      <c r="B63" s="56"/>
      <c r="C63" s="214"/>
    </row>
    <row r="64" spans="1:3" ht="12.75">
      <c r="A64" s="227"/>
      <c r="B64" s="103"/>
      <c r="C64" s="214"/>
    </row>
    <row r="65" spans="1:3" ht="12.75">
      <c r="A65" s="6"/>
      <c r="B65" s="56"/>
      <c r="C65" s="214"/>
    </row>
    <row r="66" ht="12.75">
      <c r="C66" s="214"/>
    </row>
    <row r="67" spans="1:3" ht="12.75">
      <c r="A67" s="163"/>
      <c r="B67" s="218"/>
      <c r="C67" s="214"/>
    </row>
    <row r="68" spans="1:3" ht="12.75">
      <c r="A68" s="6"/>
      <c r="C68" s="214"/>
    </row>
    <row r="69" spans="1:3" ht="12.75">
      <c r="A69" s="6"/>
      <c r="C69" s="214"/>
    </row>
    <row r="70" spans="1:3" ht="12.75">
      <c r="A70" s="6"/>
      <c r="C70" s="214"/>
    </row>
    <row r="71" spans="1:3" ht="12.75">
      <c r="A71" s="358"/>
      <c r="B71" s="358"/>
      <c r="C71" s="358"/>
    </row>
    <row r="72" ht="12.75">
      <c r="D72" s="175"/>
    </row>
    <row r="73" spans="1:8" ht="12.75">
      <c r="A73" s="6"/>
      <c r="C73" s="6"/>
      <c r="H73" s="175"/>
    </row>
    <row r="74" spans="2:8" ht="12.75">
      <c r="B74" s="6"/>
      <c r="H74" s="218"/>
    </row>
    <row r="75" spans="2:8" ht="12.75">
      <c r="B75" s="6"/>
      <c r="C75" s="218"/>
      <c r="H75" s="214"/>
    </row>
    <row r="76" spans="1:3" ht="12.75">
      <c r="A76" s="6"/>
      <c r="C76" s="214"/>
    </row>
    <row r="77" spans="1:3" ht="12.75">
      <c r="A77" s="6"/>
      <c r="C77" s="214"/>
    </row>
    <row r="78" spans="1:3" ht="12.75">
      <c r="A78" s="6"/>
      <c r="B78" s="6"/>
      <c r="C78" s="6"/>
    </row>
    <row r="79" spans="1:3" ht="12.75">
      <c r="A79" s="160"/>
      <c r="B79" s="6"/>
      <c r="C79" s="6"/>
    </row>
    <row r="80" spans="1:3" ht="12.75">
      <c r="A80" s="226"/>
      <c r="B80" s="218"/>
      <c r="C80" s="6"/>
    </row>
    <row r="81" spans="1:3" ht="12.75">
      <c r="A81" s="6"/>
      <c r="B81" s="6"/>
      <c r="C81" s="214"/>
    </row>
    <row r="82" ht="12.75">
      <c r="C82" s="214"/>
    </row>
    <row r="83" spans="1:3" ht="12.75">
      <c r="A83" s="163"/>
      <c r="B83" s="218"/>
      <c r="C83" s="214"/>
    </row>
    <row r="84" spans="1:3" ht="12.75">
      <c r="A84" s="6"/>
      <c r="C84" s="214"/>
    </row>
    <row r="85" spans="1:3" ht="12.75">
      <c r="A85" s="6"/>
      <c r="C85" s="214"/>
    </row>
    <row r="86" spans="1:3" ht="12.75">
      <c r="A86" s="6"/>
      <c r="C86" s="214"/>
    </row>
    <row r="87" spans="1:3" ht="12.75">
      <c r="A87" s="6"/>
      <c r="C87" s="214"/>
    </row>
    <row r="88" spans="1:3" ht="12.75">
      <c r="A88" s="358"/>
      <c r="B88" s="358"/>
      <c r="C88" s="358"/>
    </row>
    <row r="89" spans="1:4" ht="12.75">
      <c r="A89" s="358"/>
      <c r="B89" s="358"/>
      <c r="C89" s="358"/>
      <c r="D89" s="175"/>
    </row>
    <row r="90" spans="1:8" ht="12.75">
      <c r="A90" s="6"/>
      <c r="C90" s="6"/>
      <c r="H90" s="175"/>
    </row>
    <row r="91" spans="2:8" ht="12.75">
      <c r="B91" s="6"/>
      <c r="H91" s="218"/>
    </row>
    <row r="92" spans="2:8" ht="12.75">
      <c r="B92" s="6"/>
      <c r="C92" s="218"/>
      <c r="H92" s="214"/>
    </row>
    <row r="93" spans="1:3" ht="12.75">
      <c r="A93" s="6"/>
      <c r="C93" s="214"/>
    </row>
    <row r="94" spans="1:3" ht="12.75">
      <c r="A94" s="6"/>
      <c r="C94" s="214"/>
    </row>
    <row r="95" spans="1:3" ht="12.75">
      <c r="A95" s="6"/>
      <c r="B95" s="6"/>
      <c r="C95" s="6"/>
    </row>
    <row r="96" spans="1:3" ht="12.75">
      <c r="A96" s="160"/>
      <c r="B96" s="6"/>
      <c r="C96" s="6"/>
    </row>
    <row r="97" spans="1:3" ht="12.75">
      <c r="A97" s="228"/>
      <c r="B97" s="229"/>
      <c r="C97" s="6"/>
    </row>
    <row r="98" spans="1:3" ht="12.75">
      <c r="A98" s="6"/>
      <c r="B98" s="218"/>
      <c r="C98" s="214"/>
    </row>
    <row r="99" spans="2:3" ht="12.75">
      <c r="B99" s="218"/>
      <c r="C99" s="214"/>
    </row>
    <row r="100" spans="2:3" ht="12.75">
      <c r="B100" s="218"/>
      <c r="C100" s="214"/>
    </row>
    <row r="101" spans="1:3" ht="12.75">
      <c r="A101" s="6"/>
      <c r="B101" s="218"/>
      <c r="C101" s="214"/>
    </row>
    <row r="102" spans="2:3" ht="12.75">
      <c r="B102" s="218"/>
      <c r="C102" s="214"/>
    </row>
    <row r="103" spans="1:3" ht="12.75">
      <c r="A103" s="163"/>
      <c r="B103" s="218"/>
      <c r="C103" s="214"/>
    </row>
    <row r="104" spans="1:3" ht="12.75">
      <c r="A104" s="6"/>
      <c r="B104" s="218"/>
      <c r="C104" s="214"/>
    </row>
    <row r="105" spans="1:3" ht="12.75">
      <c r="A105" s="6"/>
      <c r="C105" s="214"/>
    </row>
    <row r="106" spans="1:3" ht="12.75">
      <c r="A106" s="163"/>
      <c r="B106" s="218"/>
      <c r="C106" s="214"/>
    </row>
    <row r="107" ht="12.75">
      <c r="C107" s="214"/>
    </row>
    <row r="108" spans="1:3" ht="12.75">
      <c r="A108" s="6"/>
      <c r="C108" s="214"/>
    </row>
    <row r="109" spans="1:3" ht="12.75">
      <c r="A109" s="6"/>
      <c r="C109" s="214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8" ht="12.75">
      <c r="A118" s="160"/>
    </row>
  </sheetData>
  <mergeCells count="9">
    <mergeCell ref="A89:C89"/>
    <mergeCell ref="A88:C88"/>
    <mergeCell ref="A55:C55"/>
    <mergeCell ref="A71:C71"/>
    <mergeCell ref="A1:E1"/>
    <mergeCell ref="A2:E2"/>
    <mergeCell ref="A3:E3"/>
    <mergeCell ref="D5:E5"/>
    <mergeCell ref="A5:B5"/>
  </mergeCells>
  <printOptions gridLines="1"/>
  <pageMargins left="0.7874015748031497" right="0.7874015748031497" top="0.71" bottom="0.9055118110236221" header="0.5118110236220472" footer="0.5118110236220472"/>
  <pageSetup horizontalDpi="300" verticalDpi="300" orientation="landscape" paperSize="9" scale="83" r:id="rId1"/>
  <headerFooter alignWithMargins="0">
    <oddFooter>&amp;L&amp;"Arial,Grassetto"Bilancio di previsione 2006&amp;C &amp;RPagina &amp;P</oddFooter>
  </headerFooter>
  <rowBreaks count="2" manualBreakCount="2">
    <brk id="53" max="255" man="1"/>
    <brk id="1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60" workbookViewId="0" topLeftCell="A1">
      <selection activeCell="D33" sqref="D33"/>
    </sheetView>
  </sheetViews>
  <sheetFormatPr defaultColWidth="9.140625" defaultRowHeight="12.75"/>
  <cols>
    <col min="1" max="1" width="44.00390625" style="2" bestFit="1" customWidth="1"/>
    <col min="2" max="2" width="14.7109375" style="2" customWidth="1"/>
    <col min="3" max="3" width="9.140625" style="2" customWidth="1"/>
    <col min="4" max="4" width="57.7109375" style="2" bestFit="1" customWidth="1"/>
    <col min="5" max="5" width="16.421875" style="2" customWidth="1"/>
    <col min="6" max="16384" width="9.140625" style="2" customWidth="1"/>
  </cols>
  <sheetData>
    <row r="1" spans="1:5" ht="20.25" customHeight="1">
      <c r="A1" s="340" t="s">
        <v>226</v>
      </c>
      <c r="B1" s="340"/>
      <c r="C1" s="340"/>
      <c r="D1" s="340"/>
      <c r="E1" s="340"/>
    </row>
    <row r="2" spans="1:5" ht="23.25" customHeight="1" thickBot="1">
      <c r="A2" s="348" t="s">
        <v>62</v>
      </c>
      <c r="B2" s="348"/>
      <c r="C2" s="348"/>
      <c r="D2" s="348"/>
      <c r="E2" s="348"/>
    </row>
    <row r="3" spans="1:5" ht="26.25" customHeight="1" thickBot="1">
      <c r="A3" s="337" t="s">
        <v>78</v>
      </c>
      <c r="B3" s="338"/>
      <c r="C3" s="338"/>
      <c r="D3" s="338"/>
      <c r="E3" s="338"/>
    </row>
    <row r="4" spans="1:3" ht="9" customHeight="1">
      <c r="A4" s="6"/>
      <c r="B4" s="6"/>
      <c r="C4" s="6"/>
    </row>
    <row r="5" spans="1:5" ht="15">
      <c r="A5" s="322" t="s">
        <v>15</v>
      </c>
      <c r="B5" s="323"/>
      <c r="C5" s="132"/>
      <c r="D5" s="322" t="s">
        <v>16</v>
      </c>
      <c r="E5" s="323"/>
    </row>
    <row r="6" spans="1:5" ht="15">
      <c r="A6" s="132"/>
      <c r="B6" s="196" t="s">
        <v>233</v>
      </c>
      <c r="C6" s="132"/>
      <c r="D6" s="132"/>
      <c r="E6" s="196" t="s">
        <v>227</v>
      </c>
    </row>
    <row r="7" spans="1:5" ht="28.5">
      <c r="A7" s="198" t="s">
        <v>40</v>
      </c>
      <c r="B7" s="81">
        <f>14510+842</f>
        <v>15352</v>
      </c>
      <c r="D7" s="197" t="s">
        <v>294</v>
      </c>
      <c r="E7" s="230"/>
    </row>
    <row r="8" spans="1:5" ht="14.25">
      <c r="A8" s="198" t="s">
        <v>36</v>
      </c>
      <c r="B8" s="81">
        <v>58152</v>
      </c>
      <c r="D8" s="197"/>
      <c r="E8" s="81">
        <v>0</v>
      </c>
    </row>
    <row r="9" spans="1:5" ht="14.25">
      <c r="A9" s="113" t="s">
        <v>8</v>
      </c>
      <c r="B9" s="138">
        <f>SUM(B7:B8)</f>
        <v>73504</v>
      </c>
      <c r="D9" s="171" t="s">
        <v>66</v>
      </c>
      <c r="E9" s="112">
        <f>SUM(E8)</f>
        <v>0</v>
      </c>
    </row>
    <row r="10" spans="1:5" ht="14.25">
      <c r="A10" s="6"/>
      <c r="C10" s="214"/>
      <c r="D10" s="6"/>
      <c r="E10" s="81"/>
    </row>
    <row r="11" spans="1:5" ht="28.5">
      <c r="A11" s="202" t="s">
        <v>244</v>
      </c>
      <c r="B11" s="221">
        <f>B9-E28</f>
        <v>-667.7400000000052</v>
      </c>
      <c r="D11" s="197" t="s">
        <v>295</v>
      </c>
      <c r="E11" s="81"/>
    </row>
    <row r="12" spans="1:5" ht="14.25">
      <c r="A12" s="202" t="s">
        <v>245</v>
      </c>
      <c r="B12" s="231">
        <f>4</f>
        <v>4</v>
      </c>
      <c r="D12" s="226" t="s">
        <v>189</v>
      </c>
      <c r="E12" s="81">
        <v>1000</v>
      </c>
    </row>
    <row r="13" spans="1:5" ht="14.25">
      <c r="A13" s="202" t="s">
        <v>246</v>
      </c>
      <c r="B13" s="232"/>
      <c r="D13" s="171" t="s">
        <v>65</v>
      </c>
      <c r="E13" s="112">
        <f>SUM(E12:E12)</f>
        <v>1000</v>
      </c>
    </row>
    <row r="14" spans="1:5" ht="14.25">
      <c r="A14" s="206" t="s">
        <v>247</v>
      </c>
      <c r="B14" s="233">
        <f>SUM(B11:B13)</f>
        <v>-663.7400000000052</v>
      </c>
      <c r="D14" s="6"/>
      <c r="E14" s="81"/>
    </row>
    <row r="15" spans="4:5" ht="28.5">
      <c r="D15" s="197" t="s">
        <v>296</v>
      </c>
      <c r="E15" s="81"/>
    </row>
    <row r="16" spans="4:5" ht="14.25">
      <c r="D16" s="163" t="s">
        <v>20</v>
      </c>
      <c r="E16" s="81">
        <v>51390</v>
      </c>
    </row>
    <row r="17" spans="4:5" ht="14.25">
      <c r="D17" s="163" t="s">
        <v>175</v>
      </c>
      <c r="E17" s="81">
        <v>97</v>
      </c>
    </row>
    <row r="18" spans="4:5" ht="14.25">
      <c r="D18" s="163" t="s">
        <v>103</v>
      </c>
      <c r="E18" s="81">
        <v>0</v>
      </c>
    </row>
    <row r="19" spans="4:5" ht="14.25">
      <c r="D19" s="163" t="s">
        <v>235</v>
      </c>
      <c r="E19" s="81">
        <f>8999.8+1405</f>
        <v>10404.8</v>
      </c>
    </row>
    <row r="20" spans="4:5" ht="14.25">
      <c r="D20" s="163" t="s">
        <v>161</v>
      </c>
      <c r="E20" s="81">
        <v>1080</v>
      </c>
    </row>
    <row r="21" spans="4:5" ht="14.25">
      <c r="D21" s="163" t="s">
        <v>165</v>
      </c>
      <c r="E21" s="81">
        <v>503.04</v>
      </c>
    </row>
    <row r="22" spans="4:5" ht="14.25">
      <c r="D22" s="171" t="s">
        <v>71</v>
      </c>
      <c r="E22" s="112">
        <f>SUM(E16:E21)</f>
        <v>63474.840000000004</v>
      </c>
    </row>
    <row r="23" spans="4:5" ht="14.25">
      <c r="D23" s="6"/>
      <c r="E23" s="81"/>
    </row>
    <row r="24" spans="4:5" ht="28.5">
      <c r="D24" s="197" t="s">
        <v>298</v>
      </c>
      <c r="E24" s="81"/>
    </row>
    <row r="25" spans="4:5" ht="14.25">
      <c r="D25" s="153" t="s">
        <v>128</v>
      </c>
      <c r="E25" s="81">
        <v>9696.9</v>
      </c>
    </row>
    <row r="26" spans="4:5" ht="14.25">
      <c r="D26" s="171" t="s">
        <v>72</v>
      </c>
      <c r="E26" s="112">
        <f>SUM(E25)</f>
        <v>9696.9</v>
      </c>
    </row>
    <row r="27" spans="4:5" ht="12.75">
      <c r="D27" s="6"/>
      <c r="E27" s="109"/>
    </row>
    <row r="28" spans="4:5" ht="15">
      <c r="D28" s="212" t="s">
        <v>74</v>
      </c>
      <c r="E28" s="225">
        <f>E26+E22+E13+E9</f>
        <v>74171.74</v>
      </c>
    </row>
    <row r="29" ht="12.75">
      <c r="E29" s="56"/>
    </row>
    <row r="30" spans="4:5" ht="12.75">
      <c r="D30" s="6"/>
      <c r="E30" s="56"/>
    </row>
    <row r="34" ht="12.75">
      <c r="E34" s="218"/>
    </row>
    <row r="35" spans="1:3" ht="12.75">
      <c r="A35" s="6"/>
      <c r="C35" s="214"/>
    </row>
    <row r="53" ht="12.75">
      <c r="E53" s="2">
        <v>940000</v>
      </c>
    </row>
  </sheetData>
  <mergeCells count="5">
    <mergeCell ref="A1:E1"/>
    <mergeCell ref="A2:E2"/>
    <mergeCell ref="A3:E3"/>
    <mergeCell ref="D5:E5"/>
    <mergeCell ref="A5:B5"/>
  </mergeCells>
  <printOptions gridLines="1"/>
  <pageMargins left="0.75" right="0.75" top="1" bottom="1" header="0.5" footer="0.5"/>
  <pageSetup horizontalDpi="300" verticalDpi="300" orientation="landscape" paperSize="9" scale="85" r:id="rId1"/>
  <headerFooter alignWithMargins="0">
    <oddFooter>&amp;L&amp;"Arial,Grassetto"Bilancio di previsione 2006&amp;C &amp;RPagina &amp;P</oddFoot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60" zoomScaleNormal="75" workbookViewId="0" topLeftCell="A1">
      <selection activeCell="D34" sqref="D34"/>
    </sheetView>
  </sheetViews>
  <sheetFormatPr defaultColWidth="9.140625" defaultRowHeight="12.75"/>
  <cols>
    <col min="1" max="1" width="39.57421875" style="2" customWidth="1"/>
    <col min="2" max="2" width="14.7109375" style="2" customWidth="1"/>
    <col min="3" max="3" width="9.140625" style="2" customWidth="1"/>
    <col min="4" max="4" width="31.28125" style="2" customWidth="1"/>
    <col min="5" max="5" width="19.28125" style="2" customWidth="1"/>
    <col min="6" max="16384" width="9.140625" style="2" customWidth="1"/>
  </cols>
  <sheetData>
    <row r="1" spans="1:6" ht="20.25" customHeight="1">
      <c r="A1" s="340" t="s">
        <v>226</v>
      </c>
      <c r="B1" s="340"/>
      <c r="C1" s="340"/>
      <c r="D1" s="340"/>
      <c r="E1" s="340"/>
      <c r="F1" s="340"/>
    </row>
    <row r="2" spans="1:5" ht="23.25" customHeight="1" thickBot="1">
      <c r="A2" s="359" t="s">
        <v>62</v>
      </c>
      <c r="B2" s="359"/>
      <c r="C2" s="359"/>
      <c r="D2" s="359"/>
      <c r="E2" s="359"/>
    </row>
    <row r="3" spans="1:5" ht="26.25" customHeight="1" thickBot="1">
      <c r="A3" s="337" t="s">
        <v>22</v>
      </c>
      <c r="B3" s="338"/>
      <c r="C3" s="338"/>
      <c r="D3" s="338"/>
      <c r="E3" s="338"/>
    </row>
    <row r="4" spans="1:3" ht="9" customHeight="1">
      <c r="A4" s="6"/>
      <c r="B4" s="6"/>
      <c r="C4" s="6"/>
    </row>
    <row r="5" spans="1:5" ht="15">
      <c r="A5" s="322" t="s">
        <v>15</v>
      </c>
      <c r="B5" s="323"/>
      <c r="C5" s="132"/>
      <c r="D5" s="322" t="s">
        <v>16</v>
      </c>
      <c r="E5" s="323"/>
    </row>
    <row r="6" spans="1:5" ht="15">
      <c r="A6" s="132"/>
      <c r="B6" s="196" t="s">
        <v>233</v>
      </c>
      <c r="C6" s="132"/>
      <c r="D6" s="132"/>
      <c r="E6" s="196" t="s">
        <v>227</v>
      </c>
    </row>
    <row r="7" spans="1:5" ht="42.75">
      <c r="A7" s="153" t="s">
        <v>79</v>
      </c>
      <c r="B7" s="81">
        <f>12773+1702</f>
        <v>14475</v>
      </c>
      <c r="D7" s="197" t="s">
        <v>294</v>
      </c>
      <c r="E7" s="109"/>
    </row>
    <row r="8" spans="1:5" ht="14.25">
      <c r="A8" s="198" t="s">
        <v>36</v>
      </c>
      <c r="B8" s="81">
        <v>0</v>
      </c>
      <c r="D8" s="197"/>
      <c r="E8" s="109">
        <v>0</v>
      </c>
    </row>
    <row r="9" spans="1:5" ht="14.25">
      <c r="A9" s="6" t="s">
        <v>8</v>
      </c>
      <c r="B9" s="152">
        <f>SUM(B7:B8)</f>
        <v>14475</v>
      </c>
      <c r="D9" s="171" t="s">
        <v>66</v>
      </c>
      <c r="E9" s="152"/>
    </row>
    <row r="10" spans="1:5" ht="12.75">
      <c r="A10" s="6"/>
      <c r="C10" s="214"/>
      <c r="D10" s="6"/>
      <c r="E10" s="109"/>
    </row>
    <row r="11" spans="1:5" ht="42.75">
      <c r="A11" s="202" t="s">
        <v>244</v>
      </c>
      <c r="B11" s="234">
        <v>0</v>
      </c>
      <c r="C11" s="6"/>
      <c r="D11" s="197" t="s">
        <v>295</v>
      </c>
      <c r="E11" s="109">
        <v>0</v>
      </c>
    </row>
    <row r="12" spans="1:5" ht="14.25">
      <c r="A12" s="202" t="s">
        <v>245</v>
      </c>
      <c r="B12" s="204">
        <v>0</v>
      </c>
      <c r="C12" s="6"/>
      <c r="D12" s="171" t="s">
        <v>65</v>
      </c>
      <c r="E12" s="152"/>
    </row>
    <row r="13" spans="1:5" ht="14.25">
      <c r="A13" s="202" t="s">
        <v>246</v>
      </c>
      <c r="B13" s="205">
        <v>0</v>
      </c>
      <c r="C13" s="6"/>
      <c r="D13" s="6"/>
      <c r="E13" s="109"/>
    </row>
    <row r="14" spans="1:5" ht="28.5">
      <c r="A14" s="206" t="s">
        <v>247</v>
      </c>
      <c r="B14" s="209">
        <f>SUM(B11:B13)</f>
        <v>0</v>
      </c>
      <c r="C14" s="6"/>
      <c r="D14" s="197" t="s">
        <v>296</v>
      </c>
      <c r="E14" s="109">
        <v>0</v>
      </c>
    </row>
    <row r="15" spans="1:5" ht="14.25">
      <c r="A15" s="227"/>
      <c r="B15" s="235"/>
      <c r="C15" s="214"/>
      <c r="D15" s="171" t="s">
        <v>71</v>
      </c>
      <c r="E15" s="152"/>
    </row>
    <row r="16" spans="1:5" ht="12.75">
      <c r="A16" s="6"/>
      <c r="B16" s="56"/>
      <c r="C16" s="214"/>
      <c r="D16" s="6"/>
      <c r="E16" s="109"/>
    </row>
    <row r="17" spans="1:5" ht="28.5">
      <c r="A17" s="6"/>
      <c r="C17" s="214"/>
      <c r="D17" s="197" t="s">
        <v>298</v>
      </c>
      <c r="E17" s="109">
        <v>0</v>
      </c>
    </row>
    <row r="18" spans="1:5" ht="14.25">
      <c r="A18" s="6"/>
      <c r="C18" s="214"/>
      <c r="D18" s="171" t="s">
        <v>72</v>
      </c>
      <c r="E18" s="152">
        <v>0</v>
      </c>
    </row>
    <row r="19" spans="1:5" ht="12.75">
      <c r="A19" s="6"/>
      <c r="C19" s="214"/>
      <c r="D19" s="6"/>
      <c r="E19" s="109"/>
    </row>
    <row r="20" spans="4:5" ht="15">
      <c r="D20" s="212" t="s">
        <v>74</v>
      </c>
      <c r="E20" s="225">
        <f>SUM(E1:E19)</f>
        <v>0</v>
      </c>
    </row>
    <row r="49" ht="12.75">
      <c r="E49" s="2">
        <v>940000</v>
      </c>
    </row>
  </sheetData>
  <mergeCells count="5">
    <mergeCell ref="A1:F1"/>
    <mergeCell ref="D5:E5"/>
    <mergeCell ref="A2:E2"/>
    <mergeCell ref="A3:E3"/>
    <mergeCell ref="A5:B5"/>
  </mergeCells>
  <printOptions gridLines="1"/>
  <pageMargins left="0.75" right="0.75" top="1" bottom="1" header="0.5" footer="0.5"/>
  <pageSetup horizontalDpi="300" verticalDpi="300" orientation="landscape" paperSize="9" scale="96" r:id="rId1"/>
  <headerFooter alignWithMargins="0">
    <oddFooter>&amp;L&amp;"Arial,Grassetto"Bilancio di previsione 2006&amp;C &amp;RPagina &amp;P</oddFooter>
  </headerFooter>
  <colBreaks count="1" manualBreakCount="1">
    <brk id="5" max="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="60" workbookViewId="0" topLeftCell="A40">
      <selection activeCell="A60" sqref="A60"/>
    </sheetView>
  </sheetViews>
  <sheetFormatPr defaultColWidth="9.140625" defaultRowHeight="12.75"/>
  <cols>
    <col min="1" max="1" width="60.140625" style="236" customWidth="1"/>
    <col min="2" max="2" width="19.140625" style="236" bestFit="1" customWidth="1"/>
    <col min="3" max="3" width="59.7109375" style="236" customWidth="1"/>
    <col min="4" max="4" width="19.140625" style="236" bestFit="1" customWidth="1"/>
    <col min="5" max="5" width="11.57421875" style="236" hidden="1" customWidth="1"/>
    <col min="6" max="6" width="10.28125" style="236" hidden="1" customWidth="1"/>
    <col min="7" max="7" width="13.00390625" style="236" hidden="1" customWidth="1"/>
    <col min="8" max="8" width="0" style="236" hidden="1" customWidth="1"/>
    <col min="9" max="9" width="10.140625" style="236" bestFit="1" customWidth="1"/>
    <col min="10" max="16384" width="9.140625" style="236" customWidth="1"/>
  </cols>
  <sheetData>
    <row r="1" spans="1:4" s="2" customFormat="1" ht="20.25" customHeight="1">
      <c r="A1" s="340" t="s">
        <v>226</v>
      </c>
      <c r="B1" s="340"/>
      <c r="C1" s="340"/>
      <c r="D1" s="340"/>
    </row>
    <row r="2" spans="1:4" s="2" customFormat="1" ht="23.25" customHeight="1" thickBot="1">
      <c r="A2" s="359" t="s">
        <v>62</v>
      </c>
      <c r="B2" s="359"/>
      <c r="C2" s="359"/>
      <c r="D2" s="359"/>
    </row>
    <row r="3" spans="1:4" s="2" customFormat="1" ht="26.25" customHeight="1" thickBot="1">
      <c r="A3" s="337" t="s">
        <v>61</v>
      </c>
      <c r="B3" s="338"/>
      <c r="C3" s="338"/>
      <c r="D3" s="338"/>
    </row>
    <row r="4" spans="1:2" s="2" customFormat="1" ht="9" customHeight="1">
      <c r="A4" s="6"/>
      <c r="B4" s="6"/>
    </row>
    <row r="5" spans="1:4" s="2" customFormat="1" ht="15">
      <c r="A5" s="322" t="s">
        <v>15</v>
      </c>
      <c r="B5" s="323"/>
      <c r="C5" s="322" t="s">
        <v>16</v>
      </c>
      <c r="D5" s="323"/>
    </row>
    <row r="6" spans="1:4" s="2" customFormat="1" ht="18" customHeight="1">
      <c r="A6" s="132"/>
      <c r="B6" s="196" t="s">
        <v>233</v>
      </c>
      <c r="C6" s="132"/>
      <c r="D6" s="196" t="s">
        <v>227</v>
      </c>
    </row>
    <row r="7" spans="1:3" ht="34.5" customHeight="1">
      <c r="A7" s="167" t="s">
        <v>135</v>
      </c>
      <c r="B7" s="81">
        <f>11596+3756</f>
        <v>15352</v>
      </c>
      <c r="C7" s="197" t="s">
        <v>299</v>
      </c>
    </row>
    <row r="8" spans="1:5" ht="14.25">
      <c r="A8" s="167" t="s">
        <v>104</v>
      </c>
      <c r="B8" s="81">
        <v>45000</v>
      </c>
      <c r="C8" s="238" t="s">
        <v>90</v>
      </c>
      <c r="D8" s="81">
        <f>479157.65+807.25+31034.35</f>
        <v>510999.25</v>
      </c>
      <c r="E8" s="239"/>
    </row>
    <row r="9" spans="1:4" ht="14.25">
      <c r="A9" s="167" t="s">
        <v>37</v>
      </c>
      <c r="B9" s="81">
        <v>5000</v>
      </c>
      <c r="C9" s="238" t="s">
        <v>91</v>
      </c>
      <c r="D9" s="81">
        <v>182959.46</v>
      </c>
    </row>
    <row r="10" spans="1:4" ht="14.25">
      <c r="A10" s="167" t="s">
        <v>105</v>
      </c>
      <c r="B10" s="81">
        <v>4314.64</v>
      </c>
      <c r="C10" s="238" t="s">
        <v>92</v>
      </c>
      <c r="D10" s="81">
        <v>167051.16</v>
      </c>
    </row>
    <row r="11" spans="1:6" ht="14.25">
      <c r="A11" s="240" t="s">
        <v>143</v>
      </c>
      <c r="B11" s="241">
        <f>SUM(B7:B10)</f>
        <v>69666.64</v>
      </c>
      <c r="C11" s="238" t="s">
        <v>93</v>
      </c>
      <c r="D11" s="81">
        <v>133114.55</v>
      </c>
      <c r="F11" s="242"/>
    </row>
    <row r="12" spans="1:4" ht="14.25">
      <c r="A12" s="167" t="s">
        <v>36</v>
      </c>
      <c r="B12" s="81">
        <v>2016105</v>
      </c>
      <c r="C12" s="238" t="s">
        <v>94</v>
      </c>
      <c r="D12" s="81">
        <v>198324.29</v>
      </c>
    </row>
    <row r="13" spans="1:4" ht="14.25">
      <c r="A13" s="243" t="s">
        <v>8</v>
      </c>
      <c r="B13" s="138">
        <f>SUM(B11:B12)</f>
        <v>2085771.64</v>
      </c>
      <c r="C13" s="238" t="s">
        <v>95</v>
      </c>
      <c r="D13" s="81">
        <v>170301.18</v>
      </c>
    </row>
    <row r="14" spans="2:4" ht="14.25">
      <c r="B14" s="109"/>
      <c r="C14" s="238" t="s">
        <v>96</v>
      </c>
      <c r="D14" s="81">
        <v>313061.71</v>
      </c>
    </row>
    <row r="15" spans="1:4" ht="28.5">
      <c r="A15" s="167" t="s">
        <v>80</v>
      </c>
      <c r="B15" s="81">
        <f>D64</f>
        <v>900000</v>
      </c>
      <c r="C15" s="238" t="s">
        <v>236</v>
      </c>
      <c r="D15" s="81">
        <v>9505.67</v>
      </c>
    </row>
    <row r="16" spans="1:4" ht="14.25">
      <c r="A16" s="167"/>
      <c r="B16" s="81"/>
      <c r="C16" s="238"/>
      <c r="D16" s="81"/>
    </row>
    <row r="17" spans="1:4" ht="14.25">
      <c r="A17" s="244" t="s">
        <v>199</v>
      </c>
      <c r="B17" s="138">
        <f>SUM(B15:B16)</f>
        <v>900000</v>
      </c>
      <c r="C17" s="245" t="s">
        <v>109</v>
      </c>
      <c r="D17" s="81">
        <v>50000</v>
      </c>
    </row>
    <row r="18" spans="1:4" ht="14.25">
      <c r="A18" s="246"/>
      <c r="B18" s="246"/>
      <c r="C18" s="199"/>
      <c r="D18" s="81"/>
    </row>
    <row r="19" spans="1:4" ht="14.25">
      <c r="A19" s="247"/>
      <c r="B19" s="246"/>
      <c r="C19" s="171" t="s">
        <v>66</v>
      </c>
      <c r="D19" s="112">
        <f>SUM(D8:D18)</f>
        <v>1735317.2699999998</v>
      </c>
    </row>
    <row r="20" spans="1:4" ht="42.75">
      <c r="A20" s="202" t="s">
        <v>244</v>
      </c>
      <c r="B20" s="234">
        <f>B13-D68</f>
        <v>13283.980000000214</v>
      </c>
      <c r="C20" s="197" t="s">
        <v>300</v>
      </c>
      <c r="D20" s="81"/>
    </row>
    <row r="21" spans="1:4" ht="14.25">
      <c r="A21" s="202" t="s">
        <v>245</v>
      </c>
      <c r="B21" s="204">
        <f>5458.98+558.39+2800+1681.2+3386.46+7135.08+1148.74</f>
        <v>22168.850000000002</v>
      </c>
      <c r="C21" s="167" t="s">
        <v>85</v>
      </c>
      <c r="D21" s="81">
        <v>35000</v>
      </c>
    </row>
    <row r="22" spans="1:4" ht="14.25">
      <c r="A22" s="202" t="s">
        <v>246</v>
      </c>
      <c r="B22" s="205">
        <v>-10517.69</v>
      </c>
      <c r="C22" s="167" t="s">
        <v>190</v>
      </c>
      <c r="D22" s="81">
        <f>17985.76+2494.09+349.56</f>
        <v>20829.41</v>
      </c>
    </row>
    <row r="23" spans="1:4" ht="14.25">
      <c r="A23" s="206" t="s">
        <v>247</v>
      </c>
      <c r="B23" s="209">
        <f>SUM(B20:B22)</f>
        <v>24935.140000000218</v>
      </c>
      <c r="C23" s="167" t="s">
        <v>191</v>
      </c>
      <c r="D23" s="81">
        <v>558</v>
      </c>
    </row>
    <row r="24" spans="1:4" ht="14.25">
      <c r="A24" s="247"/>
      <c r="B24" s="81"/>
      <c r="C24" s="167" t="s">
        <v>86</v>
      </c>
      <c r="D24" s="81">
        <v>0</v>
      </c>
    </row>
    <row r="25" spans="1:4" ht="14.25">
      <c r="A25" s="247"/>
      <c r="B25" s="246"/>
      <c r="C25" s="167" t="s">
        <v>87</v>
      </c>
      <c r="D25" s="81">
        <f>6000+8000+8411.32</f>
        <v>22411.32</v>
      </c>
    </row>
    <row r="26" spans="1:4" ht="14.25">
      <c r="A26" s="248"/>
      <c r="B26" s="246"/>
      <c r="C26" s="167" t="s">
        <v>88</v>
      </c>
      <c r="D26" s="81">
        <v>0</v>
      </c>
    </row>
    <row r="27" spans="1:4" ht="14.25">
      <c r="A27" s="248"/>
      <c r="B27" s="246"/>
      <c r="C27" s="167" t="s">
        <v>68</v>
      </c>
      <c r="D27" s="81">
        <v>1936.96</v>
      </c>
    </row>
    <row r="28" spans="1:4" s="2" customFormat="1" ht="14.25">
      <c r="A28" s="54"/>
      <c r="B28" s="54"/>
      <c r="C28" s="171" t="s">
        <v>65</v>
      </c>
      <c r="D28" s="112">
        <f>SUM(D21:D27)</f>
        <v>80735.69000000002</v>
      </c>
    </row>
    <row r="29" spans="1:6" ht="15">
      <c r="A29" s="244"/>
      <c r="C29" s="356" t="s">
        <v>297</v>
      </c>
      <c r="D29" s="357"/>
      <c r="F29" s="242"/>
    </row>
    <row r="30" spans="1:6" ht="28.5">
      <c r="A30" s="244"/>
      <c r="C30" s="197" t="s">
        <v>296</v>
      </c>
      <c r="D30" s="81"/>
      <c r="F30" s="242"/>
    </row>
    <row r="31" spans="1:6" ht="14.25">
      <c r="A31" s="244"/>
      <c r="C31" s="167" t="s">
        <v>192</v>
      </c>
      <c r="D31" s="81">
        <f>1700+300+1500+3861.81+420+2000</f>
        <v>9781.81</v>
      </c>
      <c r="F31" s="242"/>
    </row>
    <row r="32" spans="1:4" ht="14.25">
      <c r="A32" s="249"/>
      <c r="C32" s="167" t="s">
        <v>207</v>
      </c>
      <c r="D32" s="81">
        <f>500+2880+2000+9346.08+165.47+756.8+800+1500</f>
        <v>17948.35</v>
      </c>
    </row>
    <row r="33" spans="1:4" ht="14.25">
      <c r="A33" s="249"/>
      <c r="C33" s="167" t="s">
        <v>195</v>
      </c>
      <c r="D33" s="81">
        <v>1842.09</v>
      </c>
    </row>
    <row r="34" spans="3:4" ht="14.25">
      <c r="C34" s="167" t="s">
        <v>82</v>
      </c>
      <c r="D34" s="81">
        <v>11000</v>
      </c>
    </row>
    <row r="35" spans="3:4" ht="14.25">
      <c r="C35" s="167" t="s">
        <v>193</v>
      </c>
      <c r="D35" s="81">
        <v>9000</v>
      </c>
    </row>
    <row r="36" spans="3:6" ht="14.25">
      <c r="C36" s="167" t="s">
        <v>83</v>
      </c>
      <c r="D36" s="81">
        <f>4114.43+315.02</f>
        <v>4429.450000000001</v>
      </c>
      <c r="F36" s="250"/>
    </row>
    <row r="37" spans="3:6" ht="14.25">
      <c r="C37" s="167" t="s">
        <v>111</v>
      </c>
      <c r="D37" s="81">
        <f>1859.86+12618.41+500+21639.62</f>
        <v>36617.89</v>
      </c>
      <c r="F37" s="250"/>
    </row>
    <row r="38" spans="3:6" ht="14.25">
      <c r="C38" s="167" t="s">
        <v>237</v>
      </c>
      <c r="D38" s="81">
        <f>10000+5000+5000+3000+5000+9500</f>
        <v>37500</v>
      </c>
      <c r="F38" s="250"/>
    </row>
    <row r="39" spans="3:6" ht="14.25">
      <c r="C39" s="167" t="s">
        <v>208</v>
      </c>
      <c r="D39" s="81">
        <f>15000+3000</f>
        <v>18000</v>
      </c>
      <c r="F39" s="250"/>
    </row>
    <row r="40" spans="3:4" ht="14.25">
      <c r="C40" s="167" t="s">
        <v>194</v>
      </c>
      <c r="D40" s="81">
        <f>1000+1000+2000</f>
        <v>4000</v>
      </c>
    </row>
    <row r="41" spans="3:4" ht="14.25">
      <c r="C41" s="167" t="s">
        <v>187</v>
      </c>
      <c r="D41" s="81"/>
    </row>
    <row r="42" spans="3:4" ht="14.25">
      <c r="C42" s="167" t="s">
        <v>130</v>
      </c>
      <c r="D42" s="81">
        <f>2000+2994.34+3000</f>
        <v>7994.34</v>
      </c>
    </row>
    <row r="43" spans="3:4" ht="14.25">
      <c r="C43" s="167" t="s">
        <v>238</v>
      </c>
      <c r="D43" s="81">
        <f>9242.67+4500+765+382.5</f>
        <v>14890.17</v>
      </c>
    </row>
    <row r="44" spans="3:4" ht="14.25">
      <c r="C44" s="167" t="s">
        <v>131</v>
      </c>
      <c r="D44" s="81">
        <v>0</v>
      </c>
    </row>
    <row r="45" spans="3:4" ht="14.25">
      <c r="C45" s="171" t="s">
        <v>71</v>
      </c>
      <c r="D45" s="112">
        <f>SUM(D31:D44)</f>
        <v>173004.1</v>
      </c>
    </row>
    <row r="46" spans="3:4" ht="28.5">
      <c r="C46" s="197" t="s">
        <v>205</v>
      </c>
      <c r="D46" s="37"/>
    </row>
    <row r="47" spans="3:4" ht="14.25">
      <c r="C47" s="167" t="s">
        <v>239</v>
      </c>
      <c r="D47" s="81">
        <v>62362.76</v>
      </c>
    </row>
    <row r="48" spans="3:4" ht="14.25">
      <c r="C48" s="167" t="s">
        <v>147</v>
      </c>
      <c r="D48" s="81">
        <v>3000</v>
      </c>
    </row>
    <row r="49" spans="3:4" ht="14.25">
      <c r="C49" s="171" t="s">
        <v>107</v>
      </c>
      <c r="D49" s="112">
        <f>SUM(D47:D48)</f>
        <v>65362.76</v>
      </c>
    </row>
    <row r="50" spans="3:4" ht="28.5">
      <c r="C50" s="197" t="s">
        <v>301</v>
      </c>
      <c r="D50" s="37"/>
    </row>
    <row r="51" spans="3:4" ht="14.25">
      <c r="C51" s="167" t="s">
        <v>84</v>
      </c>
      <c r="D51" s="37">
        <v>2436.93</v>
      </c>
    </row>
    <row r="52" spans="3:7" ht="28.5">
      <c r="C52" s="197" t="s">
        <v>302</v>
      </c>
      <c r="D52" s="81"/>
      <c r="F52" s="236" t="s">
        <v>158</v>
      </c>
      <c r="G52" s="236" t="s">
        <v>157</v>
      </c>
    </row>
    <row r="53" spans="3:4" ht="14.25">
      <c r="C53" s="167" t="s">
        <v>37</v>
      </c>
      <c r="D53" s="138">
        <v>5000</v>
      </c>
    </row>
    <row r="54" spans="1:7" ht="28.5">
      <c r="A54" s="244"/>
      <c r="C54" s="197" t="s">
        <v>298</v>
      </c>
      <c r="D54" s="81"/>
      <c r="G54" s="251">
        <v>52033</v>
      </c>
    </row>
    <row r="55" spans="1:7" ht="14.25">
      <c r="A55" s="244"/>
      <c r="C55" s="167" t="s">
        <v>196</v>
      </c>
      <c r="D55" s="81">
        <v>10630.91</v>
      </c>
      <c r="E55" s="239"/>
      <c r="G55" s="251">
        <v>23647</v>
      </c>
    </row>
    <row r="56" spans="3:7" ht="29.25" customHeight="1">
      <c r="C56" s="167" t="s">
        <v>113</v>
      </c>
      <c r="D56" s="81">
        <f>3737+29725.44+24331.85+24227+22703.52</f>
        <v>104724.81000000001</v>
      </c>
      <c r="E56" s="239"/>
      <c r="G56" s="251">
        <v>35693</v>
      </c>
    </row>
    <row r="57" spans="1:7" ht="28.5" customHeight="1">
      <c r="A57" s="252"/>
      <c r="B57" s="239"/>
      <c r="C57" s="167" t="s">
        <v>118</v>
      </c>
      <c r="D57" s="81">
        <f>1377+14203+13605.06+12387.8+10694.14</f>
        <v>52267</v>
      </c>
      <c r="E57" s="239"/>
      <c r="G57" s="251">
        <v>22754</v>
      </c>
    </row>
    <row r="58" spans="1:7" ht="27.75" customHeight="1">
      <c r="A58" s="252"/>
      <c r="B58" s="239"/>
      <c r="C58" s="167" t="s">
        <v>206</v>
      </c>
      <c r="D58" s="81">
        <f>1329+12962+20229.81+24490.5+51077.5</f>
        <v>110088.81</v>
      </c>
      <c r="E58" s="239"/>
      <c r="G58" s="251">
        <v>37229</v>
      </c>
    </row>
    <row r="59" spans="1:7" ht="28.5">
      <c r="A59" s="252"/>
      <c r="B59" s="239"/>
      <c r="C59" s="167" t="s">
        <v>114</v>
      </c>
      <c r="D59" s="81">
        <f>1001+5137+4729.67+3535+5179.11</f>
        <v>19581.78</v>
      </c>
      <c r="E59" s="239"/>
      <c r="G59" s="251">
        <v>23517</v>
      </c>
    </row>
    <row r="60" spans="1:9" ht="28.5">
      <c r="A60" s="252"/>
      <c r="B60" s="239"/>
      <c r="C60" s="167" t="s">
        <v>115</v>
      </c>
      <c r="D60" s="81">
        <f>4907.68+25201.77+19112.4+15954.1+17293.4</f>
        <v>82469.35</v>
      </c>
      <c r="E60" s="239"/>
      <c r="G60" s="251">
        <v>55127</v>
      </c>
      <c r="I60" s="239"/>
    </row>
    <row r="61" spans="1:9" ht="14.25">
      <c r="A61" s="252"/>
      <c r="B61" s="239"/>
      <c r="C61" s="167" t="s">
        <v>116</v>
      </c>
      <c r="D61" s="81">
        <f>5054.5+21937.8+18377.52+17979.22+12432.12</f>
        <v>75781.16</v>
      </c>
      <c r="E61" s="239"/>
      <c r="F61" s="239">
        <f>(D64*dettagliocentrocosto!D136/100)-((D64*dettagliocentrocosto!D136/100)-G57)</f>
        <v>22754</v>
      </c>
      <c r="G61" s="239">
        <f>SUM(G54:G60)</f>
        <v>250000</v>
      </c>
      <c r="H61" s="242"/>
      <c r="I61" s="242"/>
    </row>
    <row r="62" spans="1:8" ht="14.25">
      <c r="A62" s="252"/>
      <c r="B62" s="239"/>
      <c r="C62" s="167" t="s">
        <v>117</v>
      </c>
      <c r="D62" s="81">
        <f>3763+24601.5+19134.9+26142.36+61090.5</f>
        <v>134732.26</v>
      </c>
      <c r="E62" s="239"/>
      <c r="G62" s="239"/>
      <c r="H62" s="242"/>
    </row>
    <row r="63" spans="1:8" ht="14.25">
      <c r="A63" s="252"/>
      <c r="B63" s="239"/>
      <c r="C63" s="167" t="s">
        <v>240</v>
      </c>
      <c r="D63" s="81">
        <f>D64-D56-D57-D58-D59-D60-D61-D62</f>
        <v>320354.82999999984</v>
      </c>
      <c r="E63" s="239"/>
      <c r="G63" s="239"/>
      <c r="H63" s="242"/>
    </row>
    <row r="64" spans="1:5" ht="14.25">
      <c r="A64" s="252"/>
      <c r="B64" s="239"/>
      <c r="C64" s="253" t="s">
        <v>39</v>
      </c>
      <c r="D64" s="254">
        <v>900000</v>
      </c>
      <c r="E64" s="239"/>
    </row>
    <row r="65" spans="1:4" ht="14.25">
      <c r="A65" s="252"/>
      <c r="B65" s="239"/>
      <c r="C65" s="171" t="s">
        <v>152</v>
      </c>
      <c r="D65" s="81">
        <f>D54</f>
        <v>0</v>
      </c>
    </row>
    <row r="66" spans="1:4" ht="14.25">
      <c r="A66" s="244"/>
      <c r="B66" s="239"/>
      <c r="C66" s="171" t="s">
        <v>149</v>
      </c>
      <c r="D66" s="112">
        <f>D64+D55</f>
        <v>910630.91</v>
      </c>
    </row>
    <row r="67" spans="1:4" ht="6.75" customHeight="1">
      <c r="A67" s="244"/>
      <c r="B67" s="239"/>
      <c r="C67" s="255"/>
      <c r="D67" s="37"/>
    </row>
    <row r="68" spans="2:4" ht="30.75" customHeight="1">
      <c r="B68" s="239"/>
      <c r="C68" s="256" t="s">
        <v>151</v>
      </c>
      <c r="D68" s="257">
        <f>D53+D49+D45+D28+D19+D51+D55</f>
        <v>2072487.6599999997</v>
      </c>
    </row>
    <row r="69" spans="1:4" ht="12.75">
      <c r="A69" s="252"/>
      <c r="B69" s="239"/>
      <c r="D69" s="109"/>
    </row>
    <row r="70" spans="1:4" ht="14.25">
      <c r="A70" s="252"/>
      <c r="B70" s="239"/>
      <c r="C70" s="258" t="s">
        <v>89</v>
      </c>
      <c r="D70" s="257">
        <f>D66+D53+D49+D45+D28+D19+D51+D67</f>
        <v>2972487.6599999997</v>
      </c>
    </row>
    <row r="71" spans="1:2" ht="12.75">
      <c r="A71" s="252"/>
      <c r="B71" s="105"/>
    </row>
    <row r="72" spans="1:2" ht="12.75">
      <c r="A72" s="252"/>
      <c r="B72" s="105"/>
    </row>
    <row r="73" spans="1:2" ht="12.75">
      <c r="A73" s="252"/>
      <c r="B73" s="105"/>
    </row>
    <row r="74" spans="1:2" ht="12.75">
      <c r="A74" s="252"/>
      <c r="B74" s="105"/>
    </row>
    <row r="75" spans="1:2" ht="12.75">
      <c r="A75" s="252"/>
      <c r="B75" s="105"/>
    </row>
    <row r="76" spans="1:2" ht="13.5" customHeight="1">
      <c r="A76" s="252"/>
      <c r="B76" s="105"/>
    </row>
    <row r="77" spans="1:6" ht="12.75">
      <c r="A77" s="252"/>
      <c r="B77" s="105"/>
      <c r="F77" s="242">
        <f>SUM(B71:B77)-B78</f>
        <v>0</v>
      </c>
    </row>
    <row r="78" spans="1:2" ht="12.75">
      <c r="A78" s="259"/>
      <c r="B78" s="260"/>
    </row>
    <row r="79" ht="12.75">
      <c r="A79" s="244"/>
    </row>
    <row r="81" ht="12.75">
      <c r="A81" s="244"/>
    </row>
    <row r="82" spans="1:3" ht="12.75">
      <c r="A82" s="244"/>
      <c r="C82" s="239"/>
    </row>
    <row r="84" ht="12.75">
      <c r="A84" s="244"/>
    </row>
    <row r="85" ht="12.75">
      <c r="A85" s="261"/>
    </row>
    <row r="87" ht="12.75">
      <c r="A87" s="249"/>
    </row>
    <row r="90" ht="12.75">
      <c r="A90" s="262"/>
    </row>
  </sheetData>
  <mergeCells count="6">
    <mergeCell ref="A1:D1"/>
    <mergeCell ref="C29:D29"/>
    <mergeCell ref="A3:D3"/>
    <mergeCell ref="C5:D5"/>
    <mergeCell ref="A5:B5"/>
    <mergeCell ref="A2:D2"/>
  </mergeCells>
  <printOptions gridLines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  <headerFooter alignWithMargins="0">
    <oddFooter>&amp;LBilancio di previsione 2006&amp;RPagina &amp;P</oddFooter>
  </headerFooter>
  <rowBreaks count="1" manualBreakCount="1">
    <brk id="28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60" workbookViewId="0" topLeftCell="A1">
      <selection activeCell="A8" sqref="A8"/>
    </sheetView>
  </sheetViews>
  <sheetFormatPr defaultColWidth="9.140625" defaultRowHeight="12.75"/>
  <cols>
    <col min="1" max="1" width="39.7109375" style="236" customWidth="1"/>
    <col min="2" max="2" width="17.00390625" style="236" bestFit="1" customWidth="1"/>
    <col min="3" max="3" width="8.28125" style="236" customWidth="1"/>
    <col min="4" max="4" width="44.7109375" style="236" customWidth="1"/>
    <col min="5" max="5" width="16.8515625" style="2" bestFit="1" customWidth="1"/>
    <col min="6" max="6" width="9.28125" style="236" bestFit="1" customWidth="1"/>
    <col min="7" max="16384" width="9.140625" style="236" customWidth="1"/>
  </cols>
  <sheetData>
    <row r="1" spans="1:5" ht="20.25" customHeight="1">
      <c r="A1" s="340" t="s">
        <v>226</v>
      </c>
      <c r="B1" s="340"/>
      <c r="C1" s="340"/>
      <c r="D1" s="340"/>
      <c r="E1" s="340"/>
    </row>
    <row r="2" spans="1:5" ht="23.25" customHeight="1" thickBot="1">
      <c r="A2" s="348" t="s">
        <v>62</v>
      </c>
      <c r="B2" s="348"/>
      <c r="C2" s="348"/>
      <c r="D2" s="348"/>
      <c r="E2" s="348"/>
    </row>
    <row r="3" spans="1:5" ht="26.25" customHeight="1" thickBot="1">
      <c r="A3" s="337" t="s">
        <v>27</v>
      </c>
      <c r="B3" s="338"/>
      <c r="C3" s="338"/>
      <c r="D3" s="338"/>
      <c r="E3" s="338"/>
    </row>
    <row r="4" spans="1:4" ht="9" customHeight="1">
      <c r="A4" s="6"/>
      <c r="B4" s="6"/>
      <c r="C4" s="6"/>
      <c r="D4" s="2"/>
    </row>
    <row r="5" spans="1:5" ht="15">
      <c r="A5" s="322" t="s">
        <v>15</v>
      </c>
      <c r="B5" s="323"/>
      <c r="C5" s="132"/>
      <c r="D5" s="322" t="s">
        <v>16</v>
      </c>
      <c r="E5" s="323"/>
    </row>
    <row r="6" spans="1:5" ht="15">
      <c r="A6" s="132"/>
      <c r="B6" s="263" t="s">
        <v>233</v>
      </c>
      <c r="C6" s="132"/>
      <c r="D6" s="132"/>
      <c r="E6" s="263" t="s">
        <v>227</v>
      </c>
    </row>
    <row r="7" spans="1:5" ht="39" customHeight="1">
      <c r="A7" s="170" t="s">
        <v>209</v>
      </c>
      <c r="B7" s="81">
        <v>8744.82</v>
      </c>
      <c r="D7" s="197" t="s">
        <v>299</v>
      </c>
      <c r="E7" s="236"/>
    </row>
    <row r="8" spans="1:5" ht="14.25">
      <c r="A8" s="54" t="s">
        <v>105</v>
      </c>
      <c r="B8" s="109">
        <v>400</v>
      </c>
      <c r="D8" s="238" t="s">
        <v>30</v>
      </c>
      <c r="E8" s="81">
        <f>29683.78+2006.65</f>
        <v>31690.43</v>
      </c>
    </row>
    <row r="9" spans="1:7" ht="14.25">
      <c r="A9" s="54" t="s">
        <v>36</v>
      </c>
      <c r="B9" s="81">
        <v>188034</v>
      </c>
      <c r="D9" s="238" t="s">
        <v>31</v>
      </c>
      <c r="E9" s="81">
        <v>113843.03</v>
      </c>
      <c r="F9" s="239"/>
      <c r="G9" s="264"/>
    </row>
    <row r="10" spans="1:7" ht="14.25">
      <c r="A10" s="243" t="s">
        <v>8</v>
      </c>
      <c r="B10" s="138">
        <f>SUM(B7:B9)</f>
        <v>197178.82</v>
      </c>
      <c r="D10" s="238" t="s">
        <v>133</v>
      </c>
      <c r="E10" s="81">
        <v>28365.01</v>
      </c>
      <c r="G10" s="264"/>
    </row>
    <row r="11" spans="1:7" ht="14.25">
      <c r="A11" s="246" t="s">
        <v>198</v>
      </c>
      <c r="B11" s="265">
        <v>36396</v>
      </c>
      <c r="D11" s="238"/>
      <c r="E11" s="81"/>
      <c r="G11" s="251"/>
    </row>
    <row r="12" spans="1:7" ht="14.25">
      <c r="A12" s="246"/>
      <c r="B12" s="138">
        <f>SUM(B10:B11)</f>
        <v>233574.82</v>
      </c>
      <c r="D12" s="238"/>
      <c r="E12" s="81"/>
      <c r="G12" s="251"/>
    </row>
    <row r="13" spans="2:5" ht="14.25">
      <c r="B13" s="239"/>
      <c r="D13" s="199"/>
      <c r="E13" s="81"/>
    </row>
    <row r="14" spans="4:5" ht="14.25">
      <c r="D14" s="171" t="s">
        <v>66</v>
      </c>
      <c r="E14" s="112">
        <f>SUM(E8:E13)</f>
        <v>173898.47</v>
      </c>
    </row>
    <row r="15" spans="1:5" ht="42.75">
      <c r="A15" s="202" t="s">
        <v>244</v>
      </c>
      <c r="B15" s="234">
        <f>B12-E34</f>
        <v>885.5200000000186</v>
      </c>
      <c r="D15" s="197" t="s">
        <v>300</v>
      </c>
      <c r="E15" s="109"/>
    </row>
    <row r="16" spans="1:5" ht="14.25">
      <c r="A16" s="202" t="s">
        <v>245</v>
      </c>
      <c r="B16" s="250">
        <f>273.91+1001.71+342.78+450+0.4+72.08+177.11</f>
        <v>2317.9900000000002</v>
      </c>
      <c r="D16" s="167" t="s">
        <v>77</v>
      </c>
      <c r="E16" s="81">
        <v>338.4</v>
      </c>
    </row>
    <row r="17" spans="1:5" ht="14.25">
      <c r="A17" s="202" t="s">
        <v>246</v>
      </c>
      <c r="B17" s="266">
        <v>0</v>
      </c>
      <c r="D17" s="171" t="s">
        <v>65</v>
      </c>
      <c r="E17" s="112">
        <f>E16</f>
        <v>338.4</v>
      </c>
    </row>
    <row r="18" spans="1:6" ht="28.5">
      <c r="A18" s="206" t="s">
        <v>247</v>
      </c>
      <c r="B18" s="267">
        <f>SUM(B15:B17)</f>
        <v>3203.510000000019</v>
      </c>
      <c r="D18" s="197" t="s">
        <v>296</v>
      </c>
      <c r="E18" s="152"/>
      <c r="F18" s="242"/>
    </row>
    <row r="19" spans="4:6" ht="14.25">
      <c r="D19" s="167" t="s">
        <v>32</v>
      </c>
      <c r="E19" s="81">
        <f>200+330+115+110+115+415+60+290</f>
        <v>1635</v>
      </c>
      <c r="F19" s="242"/>
    </row>
    <row r="20" spans="1:5" ht="14.25">
      <c r="A20" s="244"/>
      <c r="C20" s="268"/>
      <c r="D20" s="167" t="s">
        <v>50</v>
      </c>
      <c r="E20" s="81">
        <v>936</v>
      </c>
    </row>
    <row r="21" spans="4:5" ht="14.25">
      <c r="D21" s="167" t="s">
        <v>119</v>
      </c>
      <c r="E21" s="81">
        <f>4073.16+9144+1350+2970</f>
        <v>17537.16</v>
      </c>
    </row>
    <row r="22" spans="4:5" ht="14.25">
      <c r="D22" s="167" t="s">
        <v>241</v>
      </c>
      <c r="E22" s="81">
        <v>880</v>
      </c>
    </row>
    <row r="23" spans="4:5" ht="14.25">
      <c r="D23" s="167" t="s">
        <v>242</v>
      </c>
      <c r="E23" s="81">
        <v>150</v>
      </c>
    </row>
    <row r="24" spans="4:5" ht="14.25">
      <c r="D24" s="167" t="s">
        <v>139</v>
      </c>
      <c r="E24" s="81">
        <v>378.17</v>
      </c>
    </row>
    <row r="25" spans="4:5" ht="14.25">
      <c r="D25" s="167" t="s">
        <v>197</v>
      </c>
      <c r="E25" s="81">
        <f>500+42.5</f>
        <v>542.5</v>
      </c>
    </row>
    <row r="26" spans="4:5" ht="14.25">
      <c r="D26" s="171" t="s">
        <v>71</v>
      </c>
      <c r="E26" s="112">
        <f>SUM(E19:E25)</f>
        <v>22058.829999999998</v>
      </c>
    </row>
    <row r="27" spans="1:5" s="2" customFormat="1" ht="15">
      <c r="A27" s="54"/>
      <c r="B27" s="54"/>
      <c r="C27" s="54"/>
      <c r="D27" s="356" t="s">
        <v>297</v>
      </c>
      <c r="E27" s="357"/>
    </row>
    <row r="28" spans="1:5" s="2" customFormat="1" ht="28.5">
      <c r="A28" s="54"/>
      <c r="B28" s="54"/>
      <c r="C28" s="54"/>
      <c r="D28" s="197" t="s">
        <v>298</v>
      </c>
      <c r="E28" s="81">
        <v>0</v>
      </c>
    </row>
    <row r="29" spans="1:5" ht="14.25">
      <c r="A29" s="244"/>
      <c r="C29" s="268"/>
      <c r="D29" s="176" t="s">
        <v>243</v>
      </c>
      <c r="E29" s="81"/>
    </row>
    <row r="30" spans="4:5" ht="14.25">
      <c r="D30" s="171" t="s">
        <v>72</v>
      </c>
      <c r="E30" s="112">
        <f>SUM(E28)</f>
        <v>0</v>
      </c>
    </row>
    <row r="31" spans="4:5" ht="14.25">
      <c r="D31" s="246"/>
      <c r="E31" s="81"/>
    </row>
    <row r="32" spans="4:5" ht="15">
      <c r="D32" s="243" t="s">
        <v>34</v>
      </c>
      <c r="E32" s="225">
        <f>E14+E17+E26</f>
        <v>196295.69999999998</v>
      </c>
    </row>
    <row r="33" spans="4:5" ht="15">
      <c r="D33" s="262" t="s">
        <v>51</v>
      </c>
      <c r="E33" s="269">
        <v>36393.6</v>
      </c>
    </row>
    <row r="34" spans="4:5" ht="12.75">
      <c r="D34" s="262"/>
      <c r="E34" s="152">
        <f>SUM(E32:E33)</f>
        <v>232689.3</v>
      </c>
    </row>
    <row r="35" spans="4:5" ht="14.25">
      <c r="D35" s="262"/>
      <c r="E35" s="54"/>
    </row>
    <row r="36" ht="14.25">
      <c r="E36" s="54"/>
    </row>
    <row r="37" ht="14.25">
      <c r="E37" s="54"/>
    </row>
    <row r="38" ht="14.25">
      <c r="E38" s="54"/>
    </row>
    <row r="41" ht="12.75">
      <c r="A41" s="244"/>
    </row>
    <row r="43" ht="12.75">
      <c r="A43" s="244"/>
    </row>
    <row r="44" ht="12.75">
      <c r="A44" s="261"/>
    </row>
    <row r="46" ht="12.75">
      <c r="A46" s="249"/>
    </row>
  </sheetData>
  <mergeCells count="6">
    <mergeCell ref="A1:E1"/>
    <mergeCell ref="D27:E27"/>
    <mergeCell ref="A3:E3"/>
    <mergeCell ref="A2:E2"/>
    <mergeCell ref="D5:E5"/>
    <mergeCell ref="A5:B5"/>
  </mergeCells>
  <printOptions gridLines="1"/>
  <pageMargins left="0.75" right="0.75" top="0.76" bottom="1" header="0.5" footer="0.5"/>
  <pageSetup horizontalDpi="600" verticalDpi="600" orientation="landscape" paperSize="9" scale="82" r:id="rId1"/>
  <headerFooter alignWithMargins="0">
    <oddFooter>&amp;LBilancio di previsione 2006&amp;C 
&amp;R&amp;N&amp;P</oddFoot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BreakPreview" zoomScale="60" zoomScaleNormal="75" workbookViewId="0" topLeftCell="A1">
      <selection activeCell="C24" sqref="C24"/>
    </sheetView>
  </sheetViews>
  <sheetFormatPr defaultColWidth="9.140625" defaultRowHeight="12.75"/>
  <cols>
    <col min="1" max="1" width="13.7109375" style="2" bestFit="1" customWidth="1"/>
    <col min="2" max="9" width="9.140625" style="2" customWidth="1"/>
    <col min="10" max="10" width="9.8515625" style="2" customWidth="1"/>
    <col min="11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.75" thickBot="1">
      <c r="A11" s="291" t="s">
        <v>226</v>
      </c>
      <c r="B11" s="292"/>
      <c r="C11" s="292"/>
      <c r="D11" s="292"/>
      <c r="E11" s="292"/>
      <c r="F11" s="292"/>
      <c r="G11" s="292"/>
      <c r="H11" s="292"/>
      <c r="I11" s="292"/>
      <c r="J11" s="293"/>
      <c r="K11" s="3"/>
      <c r="L11" s="3"/>
    </row>
    <row r="12" spans="1:12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 customHeight="1">
      <c r="A14" s="282" t="s">
        <v>98</v>
      </c>
      <c r="B14" s="283"/>
      <c r="C14" s="283"/>
      <c r="D14" s="283"/>
      <c r="E14" s="283"/>
      <c r="F14" s="283"/>
      <c r="G14" s="283"/>
      <c r="H14" s="283"/>
      <c r="I14" s="283"/>
      <c r="J14" s="284"/>
      <c r="K14" s="3"/>
      <c r="L14" s="3"/>
    </row>
    <row r="15" spans="1:12" ht="12.7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7"/>
      <c r="K15" s="3"/>
      <c r="L15" s="3"/>
    </row>
    <row r="16" spans="1:12" ht="12.7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7"/>
      <c r="K16" s="3"/>
      <c r="L16" s="3"/>
    </row>
    <row r="17" spans="1:12" ht="12.75" customHeight="1">
      <c r="A17" s="285"/>
      <c r="B17" s="286"/>
      <c r="C17" s="286"/>
      <c r="D17" s="286"/>
      <c r="E17" s="286"/>
      <c r="F17" s="286"/>
      <c r="G17" s="286"/>
      <c r="H17" s="286"/>
      <c r="I17" s="286"/>
      <c r="J17" s="287"/>
      <c r="K17" s="3"/>
      <c r="L17" s="3"/>
    </row>
    <row r="18" spans="1:12" ht="1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287"/>
      <c r="K18" s="3"/>
      <c r="L18" s="3"/>
    </row>
    <row r="19" spans="1:12" ht="12.75" customHeight="1" hidden="1">
      <c r="A19" s="285"/>
      <c r="B19" s="286"/>
      <c r="C19" s="286"/>
      <c r="D19" s="286"/>
      <c r="E19" s="286"/>
      <c r="F19" s="286"/>
      <c r="G19" s="286"/>
      <c r="H19" s="286"/>
      <c r="I19" s="286"/>
      <c r="J19" s="287"/>
      <c r="K19" s="3"/>
      <c r="L19" s="3"/>
    </row>
    <row r="20" spans="1:12" ht="12.75" customHeight="1" hidden="1">
      <c r="A20" s="288"/>
      <c r="B20" s="289"/>
      <c r="C20" s="289"/>
      <c r="D20" s="289"/>
      <c r="E20" s="289"/>
      <c r="F20" s="289"/>
      <c r="G20" s="289"/>
      <c r="H20" s="289"/>
      <c r="I20" s="289"/>
      <c r="J20" s="290"/>
      <c r="K20" s="3"/>
      <c r="L20" s="3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6"/>
    </row>
    <row r="24" spans="1:12" ht="25.5">
      <c r="A24" s="7" t="s">
        <v>97</v>
      </c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2" ht="25.5">
      <c r="A25" s="7" t="s">
        <v>99</v>
      </c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2" ht="25.5">
      <c r="A26" s="7" t="s">
        <v>100</v>
      </c>
      <c r="B26" s="8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9:12" ht="12.75"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48" ht="12.75">
      <c r="E48" s="2">
        <v>940000</v>
      </c>
    </row>
    <row r="97" ht="12.75">
      <c r="J97" s="2" t="e">
        <f>(I97-E97)/E97*100</f>
        <v>#DIV/0!</v>
      </c>
    </row>
  </sheetData>
  <mergeCells count="2">
    <mergeCell ref="A14:J20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75" zoomScaleNormal="75" zoomScaleSheetLayoutView="75" workbookViewId="0" topLeftCell="B4">
      <selection activeCell="H23" sqref="H23"/>
    </sheetView>
  </sheetViews>
  <sheetFormatPr defaultColWidth="9.140625" defaultRowHeight="12.75"/>
  <cols>
    <col min="1" max="1" width="15.7109375" style="2" customWidth="1"/>
    <col min="2" max="2" width="21.00390625" style="2" customWidth="1"/>
    <col min="3" max="3" width="17.421875" style="2" customWidth="1"/>
    <col min="4" max="4" width="13.421875" style="2" customWidth="1"/>
    <col min="5" max="5" width="13.140625" style="2" customWidth="1"/>
    <col min="6" max="6" width="13.8515625" style="2" customWidth="1"/>
    <col min="7" max="7" width="34.28125" style="2" customWidth="1"/>
    <col min="8" max="8" width="18.00390625" style="2" customWidth="1"/>
    <col min="9" max="9" width="13.421875" style="2" customWidth="1"/>
    <col min="10" max="10" width="13.00390625" style="2" customWidth="1"/>
    <col min="11" max="11" width="14.8515625" style="2" customWidth="1"/>
    <col min="12" max="16384" width="9.140625" style="2" customWidth="1"/>
  </cols>
  <sheetData>
    <row r="1" spans="1:12" ht="20.25" customHeight="1" thickBot="1">
      <c r="A1" s="61" t="s">
        <v>226</v>
      </c>
      <c r="B1" s="61"/>
      <c r="C1" s="61"/>
      <c r="D1" s="61"/>
      <c r="E1" s="61"/>
      <c r="F1" s="61"/>
      <c r="G1" s="61"/>
      <c r="H1" s="61"/>
      <c r="I1" s="61"/>
      <c r="J1" s="61"/>
      <c r="K1" s="21"/>
      <c r="L1" s="21"/>
    </row>
    <row r="2" spans="1:11" ht="26.25" customHeight="1" thickBot="1">
      <c r="A2" s="302" t="s">
        <v>53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24.75" customHeight="1">
      <c r="A3" s="305" t="s">
        <v>263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5" spans="1:11" ht="18">
      <c r="A5" s="306" t="s">
        <v>15</v>
      </c>
      <c r="B5" s="307"/>
      <c r="C5" s="307"/>
      <c r="D5" s="307"/>
      <c r="E5" s="307"/>
      <c r="F5" s="308"/>
      <c r="G5" s="183" t="s">
        <v>17</v>
      </c>
      <c r="H5" s="184"/>
      <c r="I5" s="184"/>
      <c r="J5" s="184"/>
      <c r="K5" s="185"/>
    </row>
    <row r="6" spans="1:11" ht="18">
      <c r="A6" s="22"/>
      <c r="B6" s="3"/>
      <c r="C6" s="3"/>
      <c r="D6" s="3"/>
      <c r="E6" s="3"/>
      <c r="G6" s="23"/>
      <c r="H6" s="5"/>
      <c r="I6" s="5"/>
      <c r="J6" s="5"/>
      <c r="K6" s="24"/>
    </row>
    <row r="7" spans="1:11" ht="14.25">
      <c r="A7" s="25" t="s">
        <v>10</v>
      </c>
      <c r="B7" s="3"/>
      <c r="C7" s="26" t="s">
        <v>233</v>
      </c>
      <c r="D7" s="27"/>
      <c r="E7" s="27"/>
      <c r="F7" s="27"/>
      <c r="G7" s="25" t="s">
        <v>10</v>
      </c>
      <c r="H7" s="26" t="s">
        <v>227</v>
      </c>
      <c r="I7" s="27"/>
      <c r="J7" s="27"/>
      <c r="K7" s="28"/>
    </row>
    <row r="8" spans="1:11" ht="40.5" customHeight="1">
      <c r="A8" s="300" t="s">
        <v>286</v>
      </c>
      <c r="B8" s="301"/>
      <c r="C8" s="30">
        <f>dettagliocentrocosto!B11</f>
        <v>248920.66</v>
      </c>
      <c r="D8" s="31"/>
      <c r="E8" s="32"/>
      <c r="F8" s="31"/>
      <c r="G8" s="33" t="s">
        <v>23</v>
      </c>
      <c r="H8" s="30">
        <f>dettagliocentrocosto!G13</f>
        <v>242183.67000000004</v>
      </c>
      <c r="I8" s="31"/>
      <c r="J8" s="32"/>
      <c r="K8" s="34"/>
    </row>
    <row r="9" spans="1:11" ht="14.25">
      <c r="A9" s="300" t="s">
        <v>108</v>
      </c>
      <c r="B9" s="301"/>
      <c r="C9" s="30">
        <f>dettagliocentrocosto!B39</f>
        <v>222456</v>
      </c>
      <c r="D9" s="31"/>
      <c r="E9" s="32"/>
      <c r="F9" s="31"/>
      <c r="G9" s="33" t="s">
        <v>24</v>
      </c>
      <c r="H9" s="30">
        <f>dettagliocentrocosto!G40</f>
        <v>225125.50000000003</v>
      </c>
      <c r="I9" s="31"/>
      <c r="J9" s="32"/>
      <c r="K9" s="34"/>
    </row>
    <row r="10" spans="1:11" ht="14.25">
      <c r="A10" s="300" t="s">
        <v>287</v>
      </c>
      <c r="B10" s="301"/>
      <c r="C10" s="30">
        <f>dettagliocentrocosto!B66</f>
        <v>73504</v>
      </c>
      <c r="D10" s="31"/>
      <c r="E10" s="32"/>
      <c r="F10" s="31"/>
      <c r="G10" s="33" t="s">
        <v>25</v>
      </c>
      <c r="H10" s="30">
        <f>dettagliocentrocosto!G66</f>
        <v>74171.74</v>
      </c>
      <c r="I10" s="31"/>
      <c r="J10" s="32"/>
      <c r="K10" s="34"/>
    </row>
    <row r="11" spans="1:11" ht="14.25">
      <c r="A11" s="300" t="s">
        <v>22</v>
      </c>
      <c r="B11" s="301"/>
      <c r="C11" s="30">
        <v>0</v>
      </c>
      <c r="D11" s="31"/>
      <c r="E11" s="32"/>
      <c r="F11" s="31"/>
      <c r="G11" s="33" t="s">
        <v>26</v>
      </c>
      <c r="H11" s="30">
        <f>dettagliocentrocosto!G93</f>
        <v>0</v>
      </c>
      <c r="I11" s="31"/>
      <c r="J11" s="3"/>
      <c r="K11" s="34"/>
    </row>
    <row r="12" spans="1:11" ht="26.25" customHeight="1">
      <c r="A12" s="300" t="s">
        <v>160</v>
      </c>
      <c r="B12" s="301"/>
      <c r="C12" s="30">
        <f>dettagliocentrocosto!B124</f>
        <v>2085771.64</v>
      </c>
      <c r="D12" s="31"/>
      <c r="E12" s="32"/>
      <c r="F12" s="31"/>
      <c r="G12" s="33" t="s">
        <v>283</v>
      </c>
      <c r="H12" s="30">
        <f>dettagliocentrocosto!G126</f>
        <v>2072487.6599999997</v>
      </c>
      <c r="I12" s="31"/>
      <c r="J12" s="32"/>
      <c r="K12" s="34"/>
    </row>
    <row r="13" spans="1:11" ht="26.25" customHeight="1">
      <c r="A13" s="300" t="s">
        <v>27</v>
      </c>
      <c r="B13" s="301"/>
      <c r="C13" s="30">
        <f>dettagliocentrocosto!B151</f>
        <v>233574.82</v>
      </c>
      <c r="D13" s="31"/>
      <c r="E13" s="32"/>
      <c r="F13" s="31"/>
      <c r="G13" s="33" t="s">
        <v>284</v>
      </c>
      <c r="H13" s="30">
        <f>dettagliocentrocosto!G152+dettagliocentrocosto!H170</f>
        <v>232689.3</v>
      </c>
      <c r="I13" s="31"/>
      <c r="J13" s="32"/>
      <c r="K13" s="34"/>
    </row>
    <row r="14" spans="1:11" ht="26.25" customHeight="1">
      <c r="A14" s="300"/>
      <c r="B14" s="301"/>
      <c r="C14" s="30"/>
      <c r="D14" s="31"/>
      <c r="E14" s="32"/>
      <c r="F14" s="31"/>
      <c r="G14" s="33"/>
      <c r="H14" s="30"/>
      <c r="I14" s="31"/>
      <c r="J14" s="32"/>
      <c r="K14" s="34"/>
    </row>
    <row r="15" spans="1:11" ht="20.25" customHeight="1">
      <c r="A15" s="131" t="s">
        <v>265</v>
      </c>
      <c r="B15" s="115"/>
      <c r="C15" s="37">
        <f>SUM(C8:C13)</f>
        <v>2864227.1199999996</v>
      </c>
      <c r="D15" s="38"/>
      <c r="E15" s="39"/>
      <c r="F15" s="38"/>
      <c r="G15" s="40" t="s">
        <v>150</v>
      </c>
      <c r="H15" s="37">
        <f>SUM(H7:H14)</f>
        <v>2846657.8699999996</v>
      </c>
      <c r="I15" s="31"/>
      <c r="J15" s="32"/>
      <c r="K15" s="41"/>
    </row>
    <row r="16" spans="1:11" ht="26.25" customHeight="1">
      <c r="A16" s="300"/>
      <c r="B16" s="301"/>
      <c r="C16" s="30"/>
      <c r="D16" s="31"/>
      <c r="E16" s="32"/>
      <c r="F16" s="31"/>
      <c r="H16" s="37"/>
      <c r="I16" s="38"/>
      <c r="J16" s="39"/>
      <c r="K16" s="42"/>
    </row>
    <row r="17" spans="1:11" ht="14.25">
      <c r="A17" s="300"/>
      <c r="B17" s="301"/>
      <c r="C17" s="30"/>
      <c r="D17" s="31"/>
      <c r="E17" s="32"/>
      <c r="F17" s="31"/>
      <c r="G17" s="43"/>
      <c r="H17" s="30"/>
      <c r="I17" s="31"/>
      <c r="J17" s="32"/>
      <c r="K17" s="34"/>
    </row>
    <row r="18" spans="1:11" ht="30" customHeight="1">
      <c r="A18" s="116"/>
      <c r="B18" s="86"/>
      <c r="C18" s="44"/>
      <c r="D18" s="45"/>
      <c r="E18" s="46"/>
      <c r="F18" s="45"/>
      <c r="G18" s="35" t="s">
        <v>266</v>
      </c>
      <c r="H18" s="37">
        <f>C15-H15</f>
        <v>17569.25</v>
      </c>
      <c r="I18" s="31"/>
      <c r="J18" s="32"/>
      <c r="K18" s="34"/>
    </row>
    <row r="19" spans="1:11" ht="14.25">
      <c r="A19" s="129"/>
      <c r="B19" s="130"/>
      <c r="C19" s="30"/>
      <c r="D19" s="31"/>
      <c r="E19" s="46"/>
      <c r="F19" s="31"/>
      <c r="G19" s="33"/>
      <c r="H19" s="30"/>
      <c r="I19" s="31"/>
      <c r="J19" s="32"/>
      <c r="K19" s="41"/>
    </row>
    <row r="20" spans="1:11" ht="14.25">
      <c r="A20" s="129"/>
      <c r="B20" s="130"/>
      <c r="C20" s="30"/>
      <c r="D20" s="31"/>
      <c r="E20" s="32"/>
      <c r="F20" s="31"/>
      <c r="G20" s="47"/>
      <c r="H20" s="48"/>
      <c r="I20" s="3"/>
      <c r="J20" s="3"/>
      <c r="K20" s="34"/>
    </row>
    <row r="21" spans="1:11" s="54" customFormat="1" ht="24" customHeight="1">
      <c r="A21" s="298"/>
      <c r="B21" s="208"/>
      <c r="C21" s="49"/>
      <c r="D21" s="50"/>
      <c r="E21" s="51"/>
      <c r="F21" s="50"/>
      <c r="G21" s="52"/>
      <c r="H21" s="49"/>
      <c r="I21" s="50"/>
      <c r="J21" s="50"/>
      <c r="K21" s="53"/>
    </row>
    <row r="22" spans="4:7" ht="19.5" customHeight="1">
      <c r="D22" s="55"/>
      <c r="G22" s="56"/>
    </row>
    <row r="23" spans="5:11" ht="20.25" customHeight="1">
      <c r="E23" s="57" t="s">
        <v>268</v>
      </c>
      <c r="F23" s="58"/>
      <c r="G23" s="58"/>
      <c r="H23" s="58"/>
      <c r="I23" s="58"/>
      <c r="J23" s="58"/>
      <c r="K23" s="59"/>
    </row>
    <row r="24" spans="5:12" ht="24" customHeight="1">
      <c r="E24" s="60"/>
      <c r="F24" s="62"/>
      <c r="G24" s="63" t="s">
        <v>251</v>
      </c>
      <c r="H24" s="64" t="s">
        <v>267</v>
      </c>
      <c r="I24" s="64"/>
      <c r="J24" s="64"/>
      <c r="K24" s="64"/>
      <c r="L24" s="65"/>
    </row>
    <row r="25" spans="5:12" ht="15" customHeight="1">
      <c r="E25" s="186" t="s">
        <v>1</v>
      </c>
      <c r="F25" s="158"/>
      <c r="G25" s="66">
        <f>dettagliocentrocosto!F48+dettagliocentrocosto!F76+dettagliocentrocosto!F21+dettagliocentrocosto!F103+dettagliocentrocosto!E132+dettagliocentrocosto!E162+dettagliocentrocosto!F162</f>
        <v>485328</v>
      </c>
      <c r="H25" s="66">
        <f>dettagliocentrocosto!E21</f>
        <v>450</v>
      </c>
      <c r="I25" s="67"/>
      <c r="J25" s="67"/>
      <c r="K25" s="66"/>
      <c r="L25" s="68"/>
    </row>
    <row r="26" spans="5:12" ht="15" customHeight="1">
      <c r="E26" s="296" t="s">
        <v>2</v>
      </c>
      <c r="F26" s="297"/>
      <c r="G26" s="66">
        <f>dettagliocentrocosto!F49+dettagliocentrocosto!F77+dettagliocentrocosto!F22+dettagliocentrocosto!F104+dettagliocentrocosto!E133+dettagliocentrocosto!E163+dettagliocentrocosto!F163</f>
        <v>249272</v>
      </c>
      <c r="H26" s="66">
        <f>dettagliocentrocosto!E22</f>
        <v>450</v>
      </c>
      <c r="I26" s="67"/>
      <c r="J26" s="67"/>
      <c r="K26" s="66"/>
      <c r="L26" s="68"/>
    </row>
    <row r="27" spans="5:12" ht="15" customHeight="1">
      <c r="E27" s="296" t="s">
        <v>3</v>
      </c>
      <c r="F27" s="297"/>
      <c r="G27" s="66">
        <f>dettagliocentrocosto!F50+dettagliocentrocosto!F78+dettagliocentrocosto!F23+dettagliocentrocosto!F105+dettagliocentrocosto!E134+dettagliocentrocosto!E164+dettagliocentrocosto!F164</f>
        <v>280345</v>
      </c>
      <c r="H27" s="66">
        <f>dettagliocentrocosto!E23</f>
        <v>450</v>
      </c>
      <c r="I27" s="67"/>
      <c r="J27" s="67"/>
      <c r="K27" s="66"/>
      <c r="L27" s="68"/>
    </row>
    <row r="28" spans="5:12" ht="15" customHeight="1">
      <c r="E28" s="296" t="s">
        <v>9</v>
      </c>
      <c r="F28" s="297"/>
      <c r="G28" s="66">
        <f>dettagliocentrocosto!F51+dettagliocentrocosto!F79+dettagliocentrocosto!F24+dettagliocentrocosto!F106+dettagliocentrocosto!E135+dettagliocentrocosto!E165+dettagliocentrocosto!F165</f>
        <v>133618</v>
      </c>
      <c r="H28" s="66">
        <f>dettagliocentrocosto!E24</f>
        <v>450</v>
      </c>
      <c r="I28" s="67"/>
      <c r="J28" s="69"/>
      <c r="K28" s="66"/>
      <c r="L28" s="68"/>
    </row>
    <row r="29" spans="5:12" ht="15" customHeight="1">
      <c r="E29" s="296" t="s">
        <v>4</v>
      </c>
      <c r="F29" s="297"/>
      <c r="G29" s="66">
        <f>dettagliocentrocosto!F52+dettagliocentrocosto!F80+dettagliocentrocosto!F25+dettagliocentrocosto!F107+dettagliocentrocosto!E136+dettagliocentrocosto!E166+dettagliocentrocosto!F166</f>
        <v>278635</v>
      </c>
      <c r="H29" s="66">
        <f>dettagliocentrocosto!E25</f>
        <v>450</v>
      </c>
      <c r="I29" s="67"/>
      <c r="J29" s="67"/>
      <c r="K29" s="66"/>
      <c r="L29" s="68"/>
    </row>
    <row r="30" spans="5:12" ht="15" customHeight="1">
      <c r="E30" s="296" t="s">
        <v>5</v>
      </c>
      <c r="F30" s="297"/>
      <c r="G30" s="66">
        <f>dettagliocentrocosto!F53+dettagliocentrocosto!F81+dettagliocentrocosto!F26+dettagliocentrocosto!F108+dettagliocentrocosto!E137+dettagliocentrocosto!E167+dettagliocentrocosto!F167</f>
        <v>346805</v>
      </c>
      <c r="H30" s="66">
        <f>dettagliocentrocosto!E26</f>
        <v>450</v>
      </c>
      <c r="I30" s="67"/>
      <c r="J30" s="67"/>
      <c r="K30" s="66"/>
      <c r="L30" s="68"/>
    </row>
    <row r="31" spans="5:12" ht="15" customHeight="1">
      <c r="E31" s="296" t="s">
        <v>6</v>
      </c>
      <c r="F31" s="297"/>
      <c r="G31" s="66">
        <f>dettagliocentrocosto!F54+dettagliocentrocosto!F82+dettagliocentrocosto!F27+dettagliocentrocosto!F109+dettagliocentrocosto!E138+dettagliocentrocosto!E168+dettagliocentrocosto!F168</f>
        <v>345016</v>
      </c>
      <c r="H31" s="66">
        <f>dettagliocentrocosto!E27</f>
        <v>450</v>
      </c>
      <c r="I31" s="67"/>
      <c r="J31" s="67"/>
      <c r="K31" s="66"/>
      <c r="L31" s="68"/>
    </row>
    <row r="32" spans="5:12" ht="15" customHeight="1">
      <c r="E32" s="296" t="s">
        <v>7</v>
      </c>
      <c r="F32" s="297"/>
      <c r="G32" s="66">
        <f>dettagliocentrocosto!F55+dettagliocentrocosto!F83+dettagliocentrocosto!F28+dettagliocentrocosto!F110+dettagliocentrocosto!E139+dettagliocentrocosto!E169+dettagliocentrocosto!F169</f>
        <v>535057</v>
      </c>
      <c r="H32" s="66">
        <f>dettagliocentrocosto!E28</f>
        <v>450</v>
      </c>
      <c r="I32" s="67"/>
      <c r="J32" s="67"/>
      <c r="K32" s="66"/>
      <c r="L32" s="68"/>
    </row>
    <row r="33" spans="5:13" ht="17.25" customHeight="1">
      <c r="E33" s="298" t="s">
        <v>13</v>
      </c>
      <c r="F33" s="299"/>
      <c r="G33" s="70">
        <f>SUM(G25:G32)</f>
        <v>2654076</v>
      </c>
      <c r="H33" s="70">
        <f>SUM(H25:H32)</f>
        <v>3600</v>
      </c>
      <c r="I33" s="71"/>
      <c r="J33" s="71"/>
      <c r="K33" s="70"/>
      <c r="L33" s="72"/>
      <c r="M33" s="72"/>
    </row>
    <row r="34" spans="5:13" ht="17.25" customHeight="1">
      <c r="E34" s="73"/>
      <c r="F34" s="74"/>
      <c r="G34" s="70"/>
      <c r="H34" s="70"/>
      <c r="I34" s="71"/>
      <c r="J34" s="71"/>
      <c r="K34" s="70"/>
      <c r="L34" s="72"/>
      <c r="M34" s="72"/>
    </row>
    <row r="35" spans="1:12" ht="20.25" customHeight="1" thickBot="1">
      <c r="A35" s="61" t="s">
        <v>226</v>
      </c>
      <c r="B35" s="61"/>
      <c r="C35" s="61"/>
      <c r="D35" s="61"/>
      <c r="E35" s="61"/>
      <c r="F35" s="61"/>
      <c r="G35" s="61"/>
      <c r="H35" s="61"/>
      <c r="I35" s="61"/>
      <c r="J35" s="61"/>
      <c r="K35" s="21"/>
      <c r="L35" s="21"/>
    </row>
    <row r="36" spans="1:11" ht="26.25" customHeight="1" thickBot="1">
      <c r="A36" s="302" t="s">
        <v>53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4"/>
    </row>
    <row r="37" spans="1:11" ht="24.75" customHeight="1">
      <c r="A37" s="305" t="s">
        <v>264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  <row r="38" spans="4:8" ht="22.5">
      <c r="D38" s="75"/>
      <c r="E38" s="75"/>
      <c r="F38" s="75"/>
      <c r="G38" s="75"/>
      <c r="H38" s="75"/>
    </row>
    <row r="39" spans="1:11" ht="18">
      <c r="A39" s="183" t="s">
        <v>15</v>
      </c>
      <c r="B39" s="184"/>
      <c r="C39" s="184"/>
      <c r="D39" s="184"/>
      <c r="E39" s="184"/>
      <c r="F39" s="185"/>
      <c r="G39" s="183" t="s">
        <v>17</v>
      </c>
      <c r="H39" s="184"/>
      <c r="I39" s="184"/>
      <c r="J39" s="184"/>
      <c r="K39" s="185"/>
    </row>
    <row r="40" spans="1:11" ht="12.75">
      <c r="A40" s="22"/>
      <c r="B40" s="3"/>
      <c r="C40" s="3"/>
      <c r="D40" s="3"/>
      <c r="E40" s="3"/>
      <c r="G40" s="22"/>
      <c r="H40" s="3"/>
      <c r="I40" s="5"/>
      <c r="J40" s="5"/>
      <c r="K40" s="24"/>
    </row>
    <row r="41" spans="1:11" ht="26.25" customHeight="1">
      <c r="A41" s="76" t="s">
        <v>10</v>
      </c>
      <c r="B41" s="3"/>
      <c r="C41" s="26" t="s">
        <v>233</v>
      </c>
      <c r="D41" s="27"/>
      <c r="E41" s="77"/>
      <c r="F41" s="28"/>
      <c r="G41" s="76" t="s">
        <v>10</v>
      </c>
      <c r="H41" s="26" t="s">
        <v>227</v>
      </c>
      <c r="I41" s="27"/>
      <c r="J41" s="77"/>
      <c r="K41" s="28"/>
    </row>
    <row r="42" spans="1:11" ht="14.25">
      <c r="A42" s="300" t="s">
        <v>47</v>
      </c>
      <c r="B42" s="301"/>
      <c r="C42" s="30">
        <f>'dettagliocentrocosto invest'!B8</f>
        <v>5000</v>
      </c>
      <c r="D42" s="31"/>
      <c r="E42" s="3"/>
      <c r="F42" s="31"/>
      <c r="G42" s="29" t="s">
        <v>47</v>
      </c>
      <c r="H42" s="30">
        <f>'dettagliocentrocosto invest'!G12</f>
        <v>4942.0599999999995</v>
      </c>
      <c r="I42" s="32"/>
      <c r="J42" s="32"/>
      <c r="K42" s="78"/>
    </row>
    <row r="43" spans="1:11" ht="27.75" customHeight="1">
      <c r="A43" s="300" t="s">
        <v>48</v>
      </c>
      <c r="B43" s="301"/>
      <c r="C43" s="30">
        <f>'dettagliocentrocosto invest'!B37</f>
        <v>44250</v>
      </c>
      <c r="D43" s="31"/>
      <c r="E43" s="32"/>
      <c r="F43" s="31"/>
      <c r="G43" s="29" t="s">
        <v>48</v>
      </c>
      <c r="H43" s="30">
        <f>'dettagliocentrocosto invest'!G38</f>
        <v>44248.59</v>
      </c>
      <c r="I43" s="32"/>
      <c r="J43" s="32"/>
      <c r="K43" s="79"/>
    </row>
    <row r="44" spans="1:11" ht="27.75" customHeight="1">
      <c r="A44" s="300" t="s">
        <v>49</v>
      </c>
      <c r="B44" s="301"/>
      <c r="C44" s="30">
        <f>'dettagliocentrocosto invest'!B68</f>
        <v>260829.36</v>
      </c>
      <c r="D44" s="31"/>
      <c r="E44" s="32"/>
      <c r="F44" s="31"/>
      <c r="G44" s="29" t="s">
        <v>49</v>
      </c>
      <c r="H44" s="30">
        <f>'dettagliocentrocosto invest'!G69</f>
        <v>260828</v>
      </c>
      <c r="I44" s="32"/>
      <c r="J44" s="32"/>
      <c r="K44" s="78"/>
    </row>
    <row r="45" spans="1:11" ht="14.25">
      <c r="A45" s="300" t="s">
        <v>102</v>
      </c>
      <c r="B45" s="301"/>
      <c r="C45" s="30">
        <f>'dettagliocentrocosto invest'!B96</f>
        <v>356616</v>
      </c>
      <c r="D45" s="38"/>
      <c r="E45" s="32"/>
      <c r="F45" s="38"/>
      <c r="G45" s="80" t="s">
        <v>102</v>
      </c>
      <c r="H45" s="81">
        <f>'dettagliocentrocosto invest'!G98</f>
        <v>356427</v>
      </c>
      <c r="I45" s="32"/>
      <c r="J45" s="32"/>
      <c r="K45" s="78"/>
    </row>
    <row r="46" spans="1:11" ht="14.25">
      <c r="A46" s="300" t="s">
        <v>73</v>
      </c>
      <c r="B46" s="301"/>
      <c r="C46" s="30">
        <f>'dettagliocentrocosto invest'!B123</f>
        <v>10000</v>
      </c>
      <c r="D46" s="38"/>
      <c r="E46" s="32"/>
      <c r="F46" s="38"/>
      <c r="G46" s="80" t="s">
        <v>73</v>
      </c>
      <c r="H46" s="30">
        <f>'dettagliocentrocosto invest'!G124</f>
        <v>10000</v>
      </c>
      <c r="I46" s="32"/>
      <c r="J46" s="32"/>
      <c r="K46" s="79"/>
    </row>
    <row r="47" spans="1:11" ht="14.25">
      <c r="A47" s="300" t="s">
        <v>27</v>
      </c>
      <c r="B47" s="301"/>
      <c r="C47" s="30">
        <v>0</v>
      </c>
      <c r="D47" s="31"/>
      <c r="E47" s="32"/>
      <c r="F47" s="31"/>
      <c r="G47" s="80" t="s">
        <v>27</v>
      </c>
      <c r="H47" s="30">
        <v>0</v>
      </c>
      <c r="I47" s="32"/>
      <c r="J47" s="32"/>
      <c r="K47" s="79"/>
    </row>
    <row r="48" spans="1:11" ht="14.25">
      <c r="A48" s="294" t="s">
        <v>12</v>
      </c>
      <c r="B48" s="295"/>
      <c r="C48" s="37">
        <f>SUM(C42:C47)</f>
        <v>676695.36</v>
      </c>
      <c r="D48" s="31"/>
      <c r="E48" s="32"/>
      <c r="F48" s="31"/>
      <c r="G48" s="82" t="s">
        <v>210</v>
      </c>
      <c r="H48" s="37">
        <f>SUM(H42:H47)</f>
        <v>676445.65</v>
      </c>
      <c r="I48" s="32"/>
      <c r="J48" s="32"/>
      <c r="K48" s="83"/>
    </row>
    <row r="49" spans="1:11" ht="14.25">
      <c r="A49" s="84"/>
      <c r="B49" s="85"/>
      <c r="C49" s="44"/>
      <c r="D49" s="31"/>
      <c r="E49" s="32"/>
      <c r="F49" s="31"/>
      <c r="G49" s="82" t="s">
        <v>266</v>
      </c>
      <c r="H49" s="37">
        <f>C48-H48</f>
        <v>249.70999999996275</v>
      </c>
      <c r="I49" s="32"/>
      <c r="J49" s="32"/>
      <c r="K49" s="79"/>
    </row>
    <row r="50" spans="1:11" ht="21" customHeight="1">
      <c r="A50" s="237"/>
      <c r="B50" s="207"/>
      <c r="C50" s="49"/>
      <c r="D50" s="50"/>
      <c r="E50" s="88"/>
      <c r="F50" s="50"/>
      <c r="G50" s="87"/>
      <c r="H50" s="49"/>
      <c r="I50" s="50"/>
      <c r="J50" s="88"/>
      <c r="K50" s="53"/>
    </row>
    <row r="51" spans="1:10" ht="21" customHeight="1">
      <c r="A51" s="89"/>
      <c r="B51" s="89"/>
      <c r="C51" s="38"/>
      <c r="D51" s="31"/>
      <c r="E51" s="31"/>
      <c r="G51" s="89"/>
      <c r="H51" s="38"/>
      <c r="I51" s="31"/>
      <c r="J51" s="31"/>
    </row>
    <row r="52" ht="19.5" customHeight="1">
      <c r="D52" s="55"/>
    </row>
    <row r="53" spans="4:11" ht="20.25" customHeight="1">
      <c r="D53" s="90"/>
      <c r="E53" s="90"/>
      <c r="F53" s="90"/>
      <c r="G53" s="91" t="s">
        <v>168</v>
      </c>
      <c r="H53" s="92"/>
      <c r="I53" s="92"/>
      <c r="J53" s="92"/>
      <c r="K53" s="93"/>
    </row>
    <row r="54" spans="7:11" ht="14.25">
      <c r="G54" s="69"/>
      <c r="H54" s="94" t="s">
        <v>251</v>
      </c>
      <c r="I54" s="64"/>
      <c r="J54" s="95"/>
      <c r="K54" s="28"/>
    </row>
    <row r="55" spans="7:11" ht="15" customHeight="1">
      <c r="G55" s="96" t="s">
        <v>1</v>
      </c>
      <c r="H55" s="97">
        <f>'dettagliocentrocosto invest'!E20+'dettagliocentrocosto invest'!E49+'dettagliocentrocosto invest'!F78+'dettagliocentrocosto invest'!E107+'dettagliocentrocosto invest'!E134</f>
        <v>79771</v>
      </c>
      <c r="I55" s="67"/>
      <c r="J55" s="98"/>
      <c r="K55" s="67"/>
    </row>
    <row r="56" spans="7:11" ht="15" customHeight="1">
      <c r="G56" s="96" t="s">
        <v>2</v>
      </c>
      <c r="H56" s="97">
        <f>'dettagliocentrocosto invest'!E21+'dettagliocentrocosto invest'!E50+'dettagliocentrocosto invest'!F79+'dettagliocentrocosto invest'!E108+'dettagliocentrocosto invest'!E135</f>
        <v>48088</v>
      </c>
      <c r="I56" s="67"/>
      <c r="J56" s="98"/>
      <c r="K56" s="67"/>
    </row>
    <row r="57" spans="7:11" ht="15" customHeight="1">
      <c r="G57" s="96" t="s">
        <v>3</v>
      </c>
      <c r="H57" s="97">
        <f>'dettagliocentrocosto invest'!E22+'dettagliocentrocosto invest'!E51+'dettagliocentrocosto invest'!F80+'dettagliocentrocosto invest'!E109+'dettagliocentrocosto invest'!E136</f>
        <v>28461</v>
      </c>
      <c r="I57" s="67"/>
      <c r="J57" s="98"/>
      <c r="K57" s="67"/>
    </row>
    <row r="58" spans="7:11" ht="15" customHeight="1">
      <c r="G58" s="96" t="s">
        <v>9</v>
      </c>
      <c r="H58" s="97">
        <f>'dettagliocentrocosto invest'!E23+'dettagliocentrocosto invest'!E52+'dettagliocentrocosto invest'!F81+'dettagliocentrocosto invest'!E110+'dettagliocentrocosto invest'!E137</f>
        <v>43454</v>
      </c>
      <c r="I58" s="67"/>
      <c r="J58" s="98"/>
      <c r="K58" s="67"/>
    </row>
    <row r="59" spans="7:11" ht="15" customHeight="1">
      <c r="G59" s="96" t="s">
        <v>4</v>
      </c>
      <c r="H59" s="97">
        <f>'dettagliocentrocosto invest'!E24+'dettagliocentrocosto invest'!E53+'dettagliocentrocosto invest'!F82+'dettagliocentrocosto invest'!E111+'dettagliocentrocosto invest'!E138</f>
        <v>53371</v>
      </c>
      <c r="I59" s="67"/>
      <c r="J59" s="98"/>
      <c r="K59" s="67"/>
    </row>
    <row r="60" spans="7:11" ht="15" customHeight="1">
      <c r="G60" s="96" t="s">
        <v>5</v>
      </c>
      <c r="H60" s="97">
        <f>'dettagliocentrocosto invest'!E25+'dettagliocentrocosto invest'!E54+'dettagliocentrocosto invest'!F83+'dettagliocentrocosto invest'!E112+'dettagliocentrocosto invest'!E139</f>
        <v>61789</v>
      </c>
      <c r="I60" s="67"/>
      <c r="J60" s="98"/>
      <c r="K60" s="67"/>
    </row>
    <row r="61" spans="7:13" ht="15" customHeight="1">
      <c r="G61" s="96" t="s">
        <v>6</v>
      </c>
      <c r="H61" s="97">
        <f>'dettagliocentrocosto invest'!E26+'dettagliocentrocosto invest'!E55+'dettagliocentrocosto invest'!F84+'dettagliocentrocosto invest'!E113+'dettagliocentrocosto invest'!E140</f>
        <v>61327</v>
      </c>
      <c r="I61" s="67"/>
      <c r="J61" s="98"/>
      <c r="K61" s="67"/>
      <c r="M61" s="56"/>
    </row>
    <row r="62" spans="7:11" ht="15" customHeight="1">
      <c r="G62" s="96" t="s">
        <v>7</v>
      </c>
      <c r="H62" s="97">
        <f>'dettagliocentrocosto invest'!E27+'dettagliocentrocosto invest'!E56+'dettagliocentrocosto invest'!F85+'dettagliocentrocosto invest'!E114+'dettagliocentrocosto invest'!E141</f>
        <v>37208</v>
      </c>
      <c r="I62" s="67"/>
      <c r="J62" s="98"/>
      <c r="K62" s="67"/>
    </row>
    <row r="63" spans="7:12" ht="14.25">
      <c r="G63" s="99" t="s">
        <v>13</v>
      </c>
      <c r="H63" s="100">
        <f>SUM(H55:H62)</f>
        <v>413469</v>
      </c>
      <c r="I63" s="71"/>
      <c r="J63" s="101"/>
      <c r="K63" s="102"/>
      <c r="L63" s="103"/>
    </row>
    <row r="65" spans="1:10" ht="42.75" hidden="1">
      <c r="A65" s="3"/>
      <c r="B65" s="3"/>
      <c r="C65" s="3"/>
      <c r="D65" s="3"/>
      <c r="E65" s="3"/>
      <c r="F65" s="3"/>
      <c r="G65" s="104" t="s">
        <v>164</v>
      </c>
      <c r="H65" s="105">
        <v>554533</v>
      </c>
      <c r="I65" s="3"/>
      <c r="J65" s="3"/>
    </row>
    <row r="66" ht="12.75" hidden="1">
      <c r="H66" s="56" t="e">
        <f>#REF!-H65</f>
        <v>#REF!</v>
      </c>
    </row>
    <row r="67" spans="7:10" ht="37.5" customHeight="1" hidden="1">
      <c r="G67" s="106" t="s">
        <v>142</v>
      </c>
      <c r="H67" s="107" t="e">
        <f>#REF!-servizigenerali!E14-suap!E13-PM!D18-personale!E13</f>
        <v>#REF!</v>
      </c>
      <c r="I67" s="107" t="e">
        <f>#REF!-servizigenerali!#REF!-suap!#REF!-PM!#REF!-personale!#REF!</f>
        <v>#REF!</v>
      </c>
      <c r="J67" s="108" t="e">
        <f>H67-I67</f>
        <v>#REF!</v>
      </c>
    </row>
    <row r="68" spans="7:12" ht="12.75" hidden="1">
      <c r="G68" s="2" t="s">
        <v>170</v>
      </c>
      <c r="H68" s="56" t="e">
        <f>#REF!+#REF!</f>
        <v>#REF!</v>
      </c>
      <c r="I68" s="56" t="e">
        <f>#REF!+#REF!</f>
        <v>#REF!</v>
      </c>
      <c r="J68" s="56"/>
      <c r="K68" s="56" t="e">
        <f>#REF!+#REF!</f>
        <v>#REF!</v>
      </c>
      <c r="L68" s="56" t="e">
        <f>K68*0.933</f>
        <v>#REF!</v>
      </c>
    </row>
    <row r="70" ht="12.75">
      <c r="D70" s="56"/>
    </row>
    <row r="71" ht="12.75">
      <c r="C71" s="109"/>
    </row>
  </sheetData>
  <mergeCells count="41">
    <mergeCell ref="A1:J1"/>
    <mergeCell ref="A2:K2"/>
    <mergeCell ref="A3:K3"/>
    <mergeCell ref="G5:K5"/>
    <mergeCell ref="A5:F5"/>
    <mergeCell ref="G39:K39"/>
    <mergeCell ref="A18:B18"/>
    <mergeCell ref="A19:B19"/>
    <mergeCell ref="A13:B13"/>
    <mergeCell ref="A35:J35"/>
    <mergeCell ref="A36:K36"/>
    <mergeCell ref="A37:K37"/>
    <mergeCell ref="E27:F27"/>
    <mergeCell ref="E28:F28"/>
    <mergeCell ref="E29:F29"/>
    <mergeCell ref="A8:B8"/>
    <mergeCell ref="A20:B20"/>
    <mergeCell ref="A9:B9"/>
    <mergeCell ref="A10:B10"/>
    <mergeCell ref="A11:B11"/>
    <mergeCell ref="A15:B15"/>
    <mergeCell ref="A12:B12"/>
    <mergeCell ref="A14:B14"/>
    <mergeCell ref="A16:B16"/>
    <mergeCell ref="A17:B17"/>
    <mergeCell ref="A50:B50"/>
    <mergeCell ref="A21:B21"/>
    <mergeCell ref="A45:B45"/>
    <mergeCell ref="A43:B43"/>
    <mergeCell ref="A42:B42"/>
    <mergeCell ref="A44:B44"/>
    <mergeCell ref="A39:F39"/>
    <mergeCell ref="E25:F25"/>
    <mergeCell ref="E26:F26"/>
    <mergeCell ref="A47:B47"/>
    <mergeCell ref="A48:B48"/>
    <mergeCell ref="E30:F30"/>
    <mergeCell ref="E31:F31"/>
    <mergeCell ref="E32:F32"/>
    <mergeCell ref="E33:F33"/>
    <mergeCell ref="A46:B46"/>
  </mergeCells>
  <printOptions gridLines="1"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6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75" workbookViewId="0" topLeftCell="A2">
      <selection activeCell="H11" sqref="H11"/>
    </sheetView>
  </sheetViews>
  <sheetFormatPr defaultColWidth="9.140625" defaultRowHeight="12.75"/>
  <cols>
    <col min="1" max="1" width="46.57421875" style="2" bestFit="1" customWidth="1"/>
    <col min="2" max="2" width="17.421875" style="2" customWidth="1"/>
    <col min="3" max="5" width="12.7109375" style="2" customWidth="1"/>
    <col min="6" max="6" width="16.00390625" style="2" customWidth="1"/>
    <col min="7" max="7" width="12.7109375" style="2" customWidth="1"/>
    <col min="8" max="8" width="13.421875" style="2" customWidth="1"/>
    <col min="9" max="16384" width="9.140625" style="2" customWidth="1"/>
  </cols>
  <sheetData>
    <row r="1" spans="1:9" ht="20.25" customHeight="1" thickBot="1">
      <c r="A1" s="61" t="s">
        <v>226</v>
      </c>
      <c r="B1" s="61"/>
      <c r="C1" s="61"/>
      <c r="D1" s="61"/>
      <c r="E1" s="61"/>
      <c r="F1" s="61"/>
      <c r="G1" s="61"/>
      <c r="H1" s="61"/>
      <c r="I1" s="21"/>
    </row>
    <row r="2" spans="1:8" ht="26.25" customHeight="1" thickBot="1">
      <c r="A2" s="302" t="s">
        <v>53</v>
      </c>
      <c r="B2" s="303"/>
      <c r="C2" s="303"/>
      <c r="D2" s="303"/>
      <c r="E2" s="303"/>
      <c r="F2" s="303"/>
      <c r="G2" s="303"/>
      <c r="H2" s="309"/>
    </row>
    <row r="3" spans="1:8" ht="24.75" customHeight="1">
      <c r="A3" s="305"/>
      <c r="B3" s="305"/>
      <c r="C3" s="305"/>
      <c r="D3" s="305"/>
      <c r="E3" s="305"/>
      <c r="F3" s="305"/>
      <c r="G3" s="305"/>
      <c r="H3" s="305"/>
    </row>
    <row r="5" spans="1:8" ht="18">
      <c r="A5" s="306" t="s">
        <v>269</v>
      </c>
      <c r="B5" s="307"/>
      <c r="C5" s="307"/>
      <c r="D5" s="307"/>
      <c r="E5" s="307"/>
      <c r="F5" s="307"/>
      <c r="G5" s="307"/>
      <c r="H5" s="308"/>
    </row>
    <row r="7" spans="2:8" ht="25.5">
      <c r="B7" s="110" t="s">
        <v>270</v>
      </c>
      <c r="C7" s="110" t="s">
        <v>108</v>
      </c>
      <c r="D7" s="110" t="s">
        <v>48</v>
      </c>
      <c r="E7" s="110" t="s">
        <v>271</v>
      </c>
      <c r="F7" s="110" t="s">
        <v>102</v>
      </c>
      <c r="G7" s="110" t="s">
        <v>272</v>
      </c>
      <c r="H7" s="110" t="s">
        <v>273</v>
      </c>
    </row>
    <row r="8" spans="1:8" ht="25.5" customHeight="1">
      <c r="A8" s="69" t="s">
        <v>274</v>
      </c>
      <c r="B8" s="97">
        <v>6736.99</v>
      </c>
      <c r="C8" s="97">
        <v>-2669.5</v>
      </c>
      <c r="D8" s="97">
        <v>-667.74</v>
      </c>
      <c r="E8" s="97">
        <v>0</v>
      </c>
      <c r="F8" s="97">
        <v>13283.98</v>
      </c>
      <c r="G8" s="97">
        <v>885.52</v>
      </c>
      <c r="H8" s="100">
        <f>SUM(B8:G8)</f>
        <v>17569.25</v>
      </c>
    </row>
    <row r="9" spans="1:8" ht="18" customHeight="1">
      <c r="A9" s="69" t="s">
        <v>275</v>
      </c>
      <c r="B9" s="97">
        <v>-789.26</v>
      </c>
      <c r="C9" s="97">
        <v>0</v>
      </c>
      <c r="D9" s="97">
        <v>0</v>
      </c>
      <c r="E9" s="97">
        <v>0</v>
      </c>
      <c r="F9" s="97">
        <v>-10517.69</v>
      </c>
      <c r="G9" s="97">
        <v>0</v>
      </c>
      <c r="H9" s="100">
        <f>SUM(B9:G9)</f>
        <v>-11306.95</v>
      </c>
    </row>
    <row r="10" spans="1:8" ht="18" customHeight="1">
      <c r="A10" s="69" t="s">
        <v>276</v>
      </c>
      <c r="B10" s="97">
        <v>5614.13</v>
      </c>
      <c r="C10" s="97">
        <v>356.82</v>
      </c>
      <c r="D10" s="97">
        <v>4</v>
      </c>
      <c r="E10" s="97">
        <v>0</v>
      </c>
      <c r="F10" s="97">
        <v>22168.85</v>
      </c>
      <c r="G10" s="97">
        <v>2317.99</v>
      </c>
      <c r="H10" s="100">
        <f>SUM(B10:G10)</f>
        <v>30461.79</v>
      </c>
    </row>
    <row r="11" spans="1:8" s="113" customFormat="1" ht="14.25">
      <c r="A11" s="111" t="s">
        <v>277</v>
      </c>
      <c r="B11" s="112">
        <f aca="true" t="shared" si="0" ref="B11:H11">SUM(B8:B10)</f>
        <v>11561.86</v>
      </c>
      <c r="C11" s="112">
        <f t="shared" si="0"/>
        <v>-2312.68</v>
      </c>
      <c r="D11" s="112">
        <f t="shared" si="0"/>
        <v>-663.74</v>
      </c>
      <c r="E11" s="112">
        <f t="shared" si="0"/>
        <v>0</v>
      </c>
      <c r="F11" s="112">
        <f t="shared" si="0"/>
        <v>24935.14</v>
      </c>
      <c r="G11" s="112">
        <f t="shared" si="0"/>
        <v>3203.5099999999998</v>
      </c>
      <c r="H11" s="112">
        <f t="shared" si="0"/>
        <v>36724.09</v>
      </c>
    </row>
    <row r="12" spans="1:8" ht="25.5" customHeight="1">
      <c r="A12" s="69" t="s">
        <v>278</v>
      </c>
      <c r="B12" s="97">
        <v>57.94</v>
      </c>
      <c r="C12" s="97">
        <v>0</v>
      </c>
      <c r="D12" s="97">
        <v>1.41</v>
      </c>
      <c r="E12" s="97">
        <v>1.36</v>
      </c>
      <c r="F12" s="97">
        <v>189</v>
      </c>
      <c r="G12" s="97">
        <v>0</v>
      </c>
      <c r="H12" s="100">
        <f>SUM(B12:G12)</f>
        <v>249.70999999999998</v>
      </c>
    </row>
    <row r="13" spans="1:8" ht="18" customHeight="1">
      <c r="A13" s="69" t="s">
        <v>282</v>
      </c>
      <c r="B13" s="97">
        <v>0</v>
      </c>
      <c r="C13" s="97">
        <v>0</v>
      </c>
      <c r="D13" s="97">
        <v>306.86</v>
      </c>
      <c r="E13" s="97">
        <v>0</v>
      </c>
      <c r="F13" s="97">
        <v>0</v>
      </c>
      <c r="G13" s="97">
        <v>0</v>
      </c>
      <c r="H13" s="100">
        <f>SUM(B13:G13)</f>
        <v>306.86</v>
      </c>
    </row>
    <row r="14" spans="1:8" ht="18" customHeight="1">
      <c r="A14" s="69" t="s">
        <v>279</v>
      </c>
      <c r="B14" s="97">
        <v>0</v>
      </c>
      <c r="C14" s="97">
        <v>0</v>
      </c>
      <c r="D14" s="97">
        <v>0</v>
      </c>
      <c r="E14" s="97">
        <v>0</v>
      </c>
      <c r="F14" s="97">
        <v>25.36</v>
      </c>
      <c r="G14" s="97">
        <v>0</v>
      </c>
      <c r="H14" s="100">
        <f>SUM(B14:G14)</f>
        <v>25.36</v>
      </c>
    </row>
    <row r="15" spans="1:8" s="113" customFormat="1" ht="14.25">
      <c r="A15" s="111" t="s">
        <v>280</v>
      </c>
      <c r="B15" s="112">
        <f aca="true" t="shared" si="1" ref="B15:H15">SUM(B12:B14)</f>
        <v>57.94</v>
      </c>
      <c r="C15" s="112">
        <f t="shared" si="1"/>
        <v>0</v>
      </c>
      <c r="D15" s="112">
        <f t="shared" si="1"/>
        <v>308.27000000000004</v>
      </c>
      <c r="E15" s="112">
        <f t="shared" si="1"/>
        <v>1.36</v>
      </c>
      <c r="F15" s="112">
        <f t="shared" si="1"/>
        <v>214.36</v>
      </c>
      <c r="G15" s="112">
        <f t="shared" si="1"/>
        <v>0</v>
      </c>
      <c r="H15" s="112">
        <f t="shared" si="1"/>
        <v>581.93</v>
      </c>
    </row>
    <row r="16" spans="1:8" s="113" customFormat="1" ht="25.5" customHeight="1">
      <c r="A16" s="111" t="s">
        <v>281</v>
      </c>
      <c r="B16" s="112">
        <f>B11+B15</f>
        <v>11619.800000000001</v>
      </c>
      <c r="C16" s="112">
        <f aca="true" t="shared" si="2" ref="C16:H16">C11+C15</f>
        <v>-2312.68</v>
      </c>
      <c r="D16" s="112">
        <f t="shared" si="2"/>
        <v>-355.46999999999997</v>
      </c>
      <c r="E16" s="112">
        <f t="shared" si="2"/>
        <v>1.36</v>
      </c>
      <c r="F16" s="112">
        <f t="shared" si="2"/>
        <v>25149.5</v>
      </c>
      <c r="G16" s="112">
        <f t="shared" si="2"/>
        <v>3203.5099999999998</v>
      </c>
      <c r="H16" s="114">
        <f t="shared" si="2"/>
        <v>37306.02</v>
      </c>
    </row>
    <row r="17" ht="12.75">
      <c r="H17" s="6"/>
    </row>
    <row r="18" ht="12.75">
      <c r="H18" s="6"/>
    </row>
    <row r="19" ht="12.75">
      <c r="H19" s="6"/>
    </row>
    <row r="20" ht="12.75">
      <c r="H20" s="6"/>
    </row>
  </sheetData>
  <mergeCells count="4">
    <mergeCell ref="A1:H1"/>
    <mergeCell ref="A3:H3"/>
    <mergeCell ref="A2:H2"/>
    <mergeCell ref="A5:H5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60" workbookViewId="0" topLeftCell="A1">
      <selection activeCell="A18" sqref="A18:F18"/>
    </sheetView>
  </sheetViews>
  <sheetFormatPr defaultColWidth="9.140625" defaultRowHeight="12.75"/>
  <cols>
    <col min="1" max="1" width="15.7109375" style="2" customWidth="1"/>
    <col min="2" max="2" width="21.00390625" style="2" customWidth="1"/>
    <col min="3" max="3" width="17.421875" style="2" customWidth="1"/>
    <col min="4" max="5" width="15.8515625" style="2" customWidth="1"/>
    <col min="6" max="6" width="15.421875" style="2" customWidth="1"/>
    <col min="7" max="7" width="14.28125" style="2" customWidth="1"/>
    <col min="8" max="8" width="30.140625" style="2" customWidth="1"/>
    <col min="9" max="9" width="15.140625" style="2" customWidth="1"/>
    <col min="10" max="10" width="13.421875" style="2" customWidth="1"/>
    <col min="11" max="11" width="13.00390625" style="2" customWidth="1"/>
    <col min="12" max="12" width="14.7109375" style="2" customWidth="1"/>
    <col min="13" max="13" width="14.8515625" style="2" customWidth="1"/>
    <col min="14" max="16384" width="9.140625" style="2" customWidth="1"/>
  </cols>
  <sheetData>
    <row r="1" spans="1:14" ht="20.25" customHeight="1">
      <c r="A1" s="316" t="s">
        <v>226</v>
      </c>
      <c r="B1" s="316"/>
      <c r="C1" s="316"/>
      <c r="D1" s="316"/>
      <c r="E1" s="316"/>
      <c r="F1" s="316"/>
      <c r="G1" s="4"/>
      <c r="H1" s="4"/>
      <c r="I1" s="4"/>
      <c r="J1" s="4"/>
      <c r="K1" s="4"/>
      <c r="L1" s="21"/>
      <c r="M1" s="21"/>
      <c r="N1" s="21"/>
    </row>
    <row r="2" spans="1:13" s="3" customFormat="1" ht="26.25" customHeight="1">
      <c r="A2" s="317" t="s">
        <v>53</v>
      </c>
      <c r="B2" s="318"/>
      <c r="C2" s="318"/>
      <c r="D2" s="318"/>
      <c r="E2" s="318"/>
      <c r="F2" s="319"/>
      <c r="G2" s="117"/>
      <c r="H2" s="117"/>
      <c r="I2" s="117"/>
      <c r="J2" s="117"/>
      <c r="K2" s="117"/>
      <c r="L2" s="117"/>
      <c r="M2" s="117"/>
    </row>
    <row r="3" spans="1:13" ht="24.75" customHeight="1">
      <c r="A3" s="312" t="s">
        <v>215</v>
      </c>
      <c r="B3" s="312"/>
      <c r="C3" s="312"/>
      <c r="D3" s="312"/>
      <c r="E3" s="312"/>
      <c r="F3" s="312"/>
      <c r="G3" s="75"/>
      <c r="H3" s="75"/>
      <c r="I3" s="75"/>
      <c r="J3" s="75"/>
      <c r="K3" s="75"/>
      <c r="L3" s="75"/>
      <c r="M3" s="75"/>
    </row>
    <row r="4" spans="1:5" ht="19.5" customHeight="1">
      <c r="A4" s="55"/>
      <c r="D4" s="56"/>
      <c r="E4" s="56"/>
    </row>
    <row r="5" spans="1:9" ht="20.25" customHeight="1">
      <c r="A5" s="313" t="s">
        <v>214</v>
      </c>
      <c r="B5" s="314"/>
      <c r="C5" s="314"/>
      <c r="D5" s="314"/>
      <c r="E5" s="315"/>
      <c r="F5" s="118"/>
      <c r="G5" s="118"/>
      <c r="H5" s="118"/>
      <c r="I5" s="118"/>
    </row>
    <row r="6" spans="1:6" ht="24" customHeight="1">
      <c r="A6" s="320"/>
      <c r="B6" s="321"/>
      <c r="C6" s="94" t="s">
        <v>217</v>
      </c>
      <c r="D6" s="94" t="s">
        <v>218</v>
      </c>
      <c r="E6" s="94" t="s">
        <v>224</v>
      </c>
      <c r="F6" s="26"/>
    </row>
    <row r="7" spans="1:6" ht="15" customHeight="1">
      <c r="A7" s="296" t="s">
        <v>1</v>
      </c>
      <c r="B7" s="297"/>
      <c r="C7" s="119">
        <v>486403</v>
      </c>
      <c r="D7" s="119">
        <f>486036.46029722+1</f>
        <v>486037.46029722</v>
      </c>
      <c r="E7" s="119">
        <f>485327+1</f>
        <v>485328</v>
      </c>
      <c r="F7" s="120"/>
    </row>
    <row r="8" spans="1:6" ht="15" customHeight="1">
      <c r="A8" s="296" t="s">
        <v>2</v>
      </c>
      <c r="B8" s="297"/>
      <c r="C8" s="119">
        <v>249563</v>
      </c>
      <c r="D8" s="119">
        <v>249388.8666460975</v>
      </c>
      <c r="E8" s="119">
        <v>249272</v>
      </c>
      <c r="F8" s="120"/>
    </row>
    <row r="9" spans="1:6" ht="15" customHeight="1">
      <c r="A9" s="296" t="s">
        <v>3</v>
      </c>
      <c r="B9" s="297"/>
      <c r="C9" s="119">
        <v>281068</v>
      </c>
      <c r="D9" s="119">
        <v>280710.25917020265</v>
      </c>
      <c r="E9" s="119">
        <v>280345</v>
      </c>
      <c r="F9" s="120"/>
    </row>
    <row r="10" spans="1:6" ht="15" customHeight="1">
      <c r="A10" s="296" t="s">
        <v>9</v>
      </c>
      <c r="B10" s="297"/>
      <c r="C10" s="119">
        <v>127164</v>
      </c>
      <c r="D10" s="119">
        <v>130479.96437213194</v>
      </c>
      <c r="E10" s="119">
        <v>133618</v>
      </c>
      <c r="F10" s="120"/>
    </row>
    <row r="11" spans="1:6" ht="15" customHeight="1">
      <c r="A11" s="296" t="s">
        <v>4</v>
      </c>
      <c r="B11" s="297"/>
      <c r="C11" s="119">
        <v>279418</v>
      </c>
      <c r="D11" s="119">
        <v>279002.73371883214</v>
      </c>
      <c r="E11" s="119">
        <v>278635</v>
      </c>
      <c r="F11" s="120"/>
    </row>
    <row r="12" spans="1:6" ht="15" customHeight="1">
      <c r="A12" s="296" t="s">
        <v>5</v>
      </c>
      <c r="B12" s="297"/>
      <c r="C12" s="119">
        <v>347805</v>
      </c>
      <c r="D12" s="119">
        <v>347251.5341040701</v>
      </c>
      <c r="E12" s="119">
        <v>346805</v>
      </c>
      <c r="F12" s="120"/>
    </row>
    <row r="13" spans="1:6" ht="15" customHeight="1">
      <c r="A13" s="296" t="s">
        <v>6</v>
      </c>
      <c r="B13" s="297"/>
      <c r="C13" s="119">
        <v>345886</v>
      </c>
      <c r="D13" s="119">
        <v>345419.7009641259</v>
      </c>
      <c r="E13" s="119">
        <v>345016</v>
      </c>
      <c r="F13" s="120"/>
    </row>
    <row r="14" spans="1:6" ht="15" customHeight="1">
      <c r="A14" s="296" t="s">
        <v>7</v>
      </c>
      <c r="B14" s="297"/>
      <c r="C14" s="119">
        <v>536769</v>
      </c>
      <c r="D14" s="119">
        <v>535785.6295022469</v>
      </c>
      <c r="E14" s="119">
        <v>535057</v>
      </c>
      <c r="F14" s="120"/>
    </row>
    <row r="15" spans="1:7" ht="17.25" customHeight="1">
      <c r="A15" s="310" t="s">
        <v>8</v>
      </c>
      <c r="B15" s="311"/>
      <c r="C15" s="121">
        <f>SUM(C7:C14)</f>
        <v>2654076</v>
      </c>
      <c r="D15" s="121">
        <f>SUM(D7:D14)</f>
        <v>2654076.1487749266</v>
      </c>
      <c r="E15" s="121">
        <f>SUM(E7:E14)</f>
        <v>2654076</v>
      </c>
      <c r="F15" s="122"/>
      <c r="G15" s="123"/>
    </row>
    <row r="16" spans="2:7" ht="17.25" customHeight="1">
      <c r="B16" s="36"/>
      <c r="C16" s="36"/>
      <c r="D16" s="37"/>
      <c r="E16" s="37"/>
      <c r="F16" s="72"/>
      <c r="G16" s="72"/>
    </row>
    <row r="17" spans="2:7" ht="17.25" customHeight="1">
      <c r="B17" s="36"/>
      <c r="C17" s="36"/>
      <c r="D17" s="37"/>
      <c r="E17" s="37"/>
      <c r="F17" s="72"/>
      <c r="G17" s="72"/>
    </row>
    <row r="18" spans="1:11" ht="18">
      <c r="A18" s="316" t="s">
        <v>226</v>
      </c>
      <c r="B18" s="316"/>
      <c r="C18" s="316"/>
      <c r="D18" s="316"/>
      <c r="E18" s="316"/>
      <c r="F18" s="316"/>
      <c r="G18" s="4"/>
      <c r="H18" s="4"/>
      <c r="I18" s="4"/>
      <c r="J18" s="4"/>
      <c r="K18" s="4"/>
    </row>
    <row r="19" spans="1:13" s="90" customFormat="1" ht="25.5">
      <c r="A19" s="317" t="s">
        <v>53</v>
      </c>
      <c r="B19" s="318"/>
      <c r="C19" s="318"/>
      <c r="D19" s="318"/>
      <c r="E19" s="318"/>
      <c r="F19" s="319"/>
      <c r="G19" s="117"/>
      <c r="H19" s="117"/>
      <c r="I19" s="117"/>
      <c r="J19" s="117"/>
      <c r="K19" s="117"/>
      <c r="L19" s="117"/>
      <c r="M19" s="117"/>
    </row>
    <row r="20" spans="1:13" ht="22.5">
      <c r="A20" s="312" t="s">
        <v>216</v>
      </c>
      <c r="B20" s="312"/>
      <c r="C20" s="312"/>
      <c r="D20" s="312"/>
      <c r="E20" s="312"/>
      <c r="F20" s="312"/>
      <c r="G20" s="75"/>
      <c r="H20" s="75"/>
      <c r="I20" s="75"/>
      <c r="J20" s="75"/>
      <c r="K20" s="75"/>
      <c r="L20" s="75"/>
      <c r="M20" s="75"/>
    </row>
    <row r="21" spans="4:5" ht="19.5" customHeight="1">
      <c r="D21" s="55"/>
      <c r="E21" s="55"/>
    </row>
    <row r="22" spans="1:7" ht="20.25" customHeight="1">
      <c r="A22" s="313" t="s">
        <v>214</v>
      </c>
      <c r="B22" s="314"/>
      <c r="C22" s="314"/>
      <c r="D22" s="314"/>
      <c r="E22" s="315"/>
      <c r="F22" s="124"/>
      <c r="G22" s="124"/>
    </row>
    <row r="23" spans="1:6" ht="25.5" customHeight="1">
      <c r="A23" s="186"/>
      <c r="B23" s="158"/>
      <c r="C23" s="94" t="s">
        <v>217</v>
      </c>
      <c r="D23" s="94" t="s">
        <v>218</v>
      </c>
      <c r="E23" s="94" t="s">
        <v>224</v>
      </c>
      <c r="F23" s="26"/>
    </row>
    <row r="24" spans="1:6" ht="15" customHeight="1">
      <c r="A24" s="296" t="s">
        <v>1</v>
      </c>
      <c r="B24" s="297"/>
      <c r="C24" s="125">
        <v>77037</v>
      </c>
      <c r="D24" s="125">
        <v>79538.98185614152</v>
      </c>
      <c r="E24" s="125">
        <f>79770+1</f>
        <v>79771</v>
      </c>
      <c r="F24" s="120"/>
    </row>
    <row r="25" spans="1:6" ht="15" customHeight="1">
      <c r="A25" s="296" t="s">
        <v>2</v>
      </c>
      <c r="B25" s="297"/>
      <c r="C25" s="125">
        <v>46162</v>
      </c>
      <c r="D25" s="125">
        <v>47975.93662192163</v>
      </c>
      <c r="E25" s="125">
        <v>48088</v>
      </c>
      <c r="F25" s="120"/>
    </row>
    <row r="26" spans="1:6" ht="15" customHeight="1">
      <c r="A26" s="296" t="s">
        <v>3</v>
      </c>
      <c r="B26" s="297"/>
      <c r="C26" s="125">
        <v>51936</v>
      </c>
      <c r="D26" s="125">
        <v>28426.147130627476</v>
      </c>
      <c r="E26" s="125">
        <v>28461</v>
      </c>
      <c r="F26" s="120"/>
    </row>
    <row r="27" spans="1:6" ht="15" customHeight="1">
      <c r="A27" s="296" t="s">
        <v>9</v>
      </c>
      <c r="B27" s="297"/>
      <c r="C27" s="125">
        <v>42470</v>
      </c>
      <c r="D27" s="125">
        <v>43614.8484900585</v>
      </c>
      <c r="E27" s="125">
        <v>43454</v>
      </c>
      <c r="F27" s="120"/>
    </row>
    <row r="28" spans="1:6" ht="15" customHeight="1">
      <c r="A28" s="296" t="s">
        <v>4</v>
      </c>
      <c r="B28" s="297"/>
      <c r="C28" s="125">
        <v>51429</v>
      </c>
      <c r="D28" s="125">
        <v>53383.31967741065</v>
      </c>
      <c r="E28" s="125">
        <v>53371</v>
      </c>
      <c r="F28" s="120"/>
    </row>
    <row r="29" spans="1:6" ht="15" customHeight="1">
      <c r="A29" s="296" t="s">
        <v>5</v>
      </c>
      <c r="B29" s="297"/>
      <c r="C29" s="125">
        <v>59720</v>
      </c>
      <c r="D29" s="125">
        <v>61835.690542351964</v>
      </c>
      <c r="E29" s="125">
        <v>61789</v>
      </c>
      <c r="F29" s="120"/>
    </row>
    <row r="30" spans="1:6" ht="15" customHeight="1">
      <c r="A30" s="296" t="s">
        <v>6</v>
      </c>
      <c r="B30" s="297"/>
      <c r="C30" s="125">
        <v>59213</v>
      </c>
      <c r="D30" s="125">
        <v>61316.42748183782</v>
      </c>
      <c r="E30" s="125">
        <v>61327</v>
      </c>
      <c r="F30" s="120"/>
    </row>
    <row r="31" spans="1:6" ht="15" customHeight="1">
      <c r="A31" s="296" t="s">
        <v>7</v>
      </c>
      <c r="B31" s="297"/>
      <c r="C31" s="125">
        <v>83711</v>
      </c>
      <c r="D31" s="125">
        <v>86347.28819965041</v>
      </c>
      <c r="E31" s="125">
        <v>37208</v>
      </c>
      <c r="F31" s="120"/>
    </row>
    <row r="32" spans="1:7" ht="14.25">
      <c r="A32" s="310" t="s">
        <v>8</v>
      </c>
      <c r="B32" s="311"/>
      <c r="C32" s="126">
        <f>SUM(C24:C31)</f>
        <v>471678</v>
      </c>
      <c r="D32" s="126">
        <f>SUM(D24:D31)</f>
        <v>462438.63999999996</v>
      </c>
      <c r="E32" s="126">
        <f>SUM(E24:E31)</f>
        <v>413469</v>
      </c>
      <c r="F32" s="122"/>
      <c r="G32" s="123"/>
    </row>
  </sheetData>
  <mergeCells count="28">
    <mergeCell ref="A1:F1"/>
    <mergeCell ref="A2:F2"/>
    <mergeCell ref="A3:F3"/>
    <mergeCell ref="A5:E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F18"/>
    <mergeCell ref="A19:F19"/>
    <mergeCell ref="A20:F20"/>
    <mergeCell ref="A23:B23"/>
    <mergeCell ref="A24:B24"/>
    <mergeCell ref="A22:E22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7874015748031497" right="0.7874015748031497" top="0.63" bottom="0.6" header="0.5118110236220472" footer="0.5118110236220472"/>
  <pageSetup fitToHeight="1" fitToWidth="1" horizontalDpi="360" verticalDpi="36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2"/>
  <sheetViews>
    <sheetView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30.00390625" style="2" customWidth="1"/>
    <col min="2" max="2" width="20.421875" style="2" bestFit="1" customWidth="1"/>
    <col min="3" max="3" width="12.8515625" style="2" customWidth="1"/>
    <col min="4" max="4" width="13.28125" style="2" customWidth="1"/>
    <col min="5" max="5" width="18.8515625" style="2" customWidth="1"/>
    <col min="6" max="6" width="20.28125" style="2" customWidth="1"/>
    <col min="7" max="7" width="20.7109375" style="2" bestFit="1" customWidth="1"/>
    <col min="8" max="8" width="14.421875" style="2" bestFit="1" customWidth="1"/>
    <col min="9" max="9" width="16.28125" style="2" customWidth="1"/>
    <col min="10" max="10" width="8.8515625" style="2" hidden="1" customWidth="1"/>
    <col min="11" max="11" width="0" style="2" hidden="1" customWidth="1"/>
    <col min="12" max="12" width="14.8515625" style="2" hidden="1" customWidth="1"/>
    <col min="13" max="15" width="10.8515625" style="2" customWidth="1"/>
    <col min="16" max="16384" width="9.140625" style="2" customWidth="1"/>
  </cols>
  <sheetData>
    <row r="1" spans="1:11" ht="20.25" customHeight="1">
      <c r="A1" s="340" t="s">
        <v>226</v>
      </c>
      <c r="B1" s="340"/>
      <c r="C1" s="340"/>
      <c r="D1" s="340"/>
      <c r="E1" s="340"/>
      <c r="F1" s="340"/>
      <c r="G1" s="340"/>
      <c r="H1" s="340"/>
      <c r="I1" s="340"/>
      <c r="K1" s="127"/>
    </row>
    <row r="2" spans="1:11" ht="18" customHeight="1" thickBot="1">
      <c r="A2" s="341" t="s">
        <v>75</v>
      </c>
      <c r="B2" s="341"/>
      <c r="C2" s="341"/>
      <c r="D2" s="341"/>
      <c r="E2" s="341"/>
      <c r="F2" s="341"/>
      <c r="G2" s="341"/>
      <c r="H2" s="341"/>
      <c r="I2" s="341"/>
      <c r="K2" s="127"/>
    </row>
    <row r="3" spans="1:11" ht="26.25" customHeight="1" thickBot="1">
      <c r="A3" s="337" t="s">
        <v>47</v>
      </c>
      <c r="B3" s="338"/>
      <c r="C3" s="338"/>
      <c r="D3" s="338"/>
      <c r="E3" s="338"/>
      <c r="F3" s="338"/>
      <c r="G3" s="338"/>
      <c r="H3" s="338"/>
      <c r="I3" s="339"/>
      <c r="K3" s="127"/>
    </row>
    <row r="4" ht="12.75">
      <c r="K4" s="127"/>
    </row>
    <row r="5" spans="1:15" ht="15">
      <c r="A5" s="322" t="s">
        <v>258</v>
      </c>
      <c r="B5" s="323"/>
      <c r="C5" s="323"/>
      <c r="D5" s="324"/>
      <c r="E5" s="322" t="s">
        <v>16</v>
      </c>
      <c r="F5" s="323"/>
      <c r="G5" s="323"/>
      <c r="H5" s="323"/>
      <c r="I5" s="324"/>
      <c r="K5" s="127"/>
      <c r="M5" s="128"/>
      <c r="N5" s="128"/>
      <c r="O5" s="128"/>
    </row>
    <row r="6" spans="1:15" ht="242.25">
      <c r="A6" s="132"/>
      <c r="B6" s="26" t="s">
        <v>233</v>
      </c>
      <c r="C6" s="133"/>
      <c r="D6" s="27"/>
      <c r="E6" s="132"/>
      <c r="F6" s="132"/>
      <c r="G6" s="26" t="s">
        <v>227</v>
      </c>
      <c r="H6" s="133"/>
      <c r="I6" s="27"/>
      <c r="J6" s="2" t="s">
        <v>127</v>
      </c>
      <c r="K6" s="26" t="s">
        <v>166</v>
      </c>
      <c r="L6" s="26" t="s">
        <v>167</v>
      </c>
      <c r="M6" s="128"/>
      <c r="N6" s="128"/>
      <c r="O6" s="128"/>
    </row>
    <row r="7" spans="1:15" ht="25.5">
      <c r="A7" s="134" t="s">
        <v>123</v>
      </c>
      <c r="B7" s="109">
        <f>servizigenerali!B8+servizigenerali!B9</f>
        <v>28242</v>
      </c>
      <c r="C7" s="56"/>
      <c r="D7" s="56"/>
      <c r="E7" s="333" t="s">
        <v>176</v>
      </c>
      <c r="F7" s="333"/>
      <c r="G7" s="109">
        <f>servizigenerali!E15</f>
        <v>110701.8</v>
      </c>
      <c r="H7" s="56"/>
      <c r="I7" s="56"/>
      <c r="J7" s="56">
        <f>G7-H7</f>
        <v>110701.8</v>
      </c>
      <c r="K7" s="127"/>
      <c r="M7" s="128"/>
      <c r="N7" s="128"/>
      <c r="O7" s="128"/>
    </row>
    <row r="8" spans="1:15" ht="12.75">
      <c r="A8" s="2" t="s">
        <v>204</v>
      </c>
      <c r="B8" s="109">
        <f>servizigenerali!B11</f>
        <v>73.66</v>
      </c>
      <c r="C8" s="56"/>
      <c r="E8" s="333" t="s">
        <v>14</v>
      </c>
      <c r="F8" s="333"/>
      <c r="G8" s="109">
        <f>servizigenerali!E22</f>
        <v>6316.1900000000005</v>
      </c>
      <c r="H8" s="56"/>
      <c r="I8" s="56"/>
      <c r="J8" s="56">
        <f>G8-H8</f>
        <v>6316.1900000000005</v>
      </c>
      <c r="K8" s="127"/>
      <c r="M8" s="128"/>
      <c r="N8" s="128"/>
      <c r="O8" s="128"/>
    </row>
    <row r="9" spans="1:15" ht="12.75">
      <c r="A9" s="2" t="s">
        <v>255</v>
      </c>
      <c r="B9" s="109">
        <f>servizigenerali!B12</f>
        <v>217005</v>
      </c>
      <c r="E9" s="333" t="s">
        <v>45</v>
      </c>
      <c r="F9" s="333"/>
      <c r="G9" s="109">
        <f>servizigenerali!E43+servizigenerali!E56</f>
        <v>85255.47</v>
      </c>
      <c r="H9" s="56"/>
      <c r="I9" s="56"/>
      <c r="J9" s="56">
        <f>G9-H9</f>
        <v>85255.47</v>
      </c>
      <c r="K9" s="127"/>
      <c r="M9" s="128"/>
      <c r="N9" s="128"/>
      <c r="O9" s="128"/>
    </row>
    <row r="10" spans="1:15" ht="14.25">
      <c r="A10" s="2" t="s">
        <v>257</v>
      </c>
      <c r="B10" s="109">
        <v>3600</v>
      </c>
      <c r="C10" s="136"/>
      <c r="D10" s="136"/>
      <c r="E10" s="333" t="s">
        <v>145</v>
      </c>
      <c r="F10" s="333"/>
      <c r="G10" s="109">
        <f>servizigenerali!E45+servizigenerali!E46</f>
        <v>39795.79</v>
      </c>
      <c r="H10" s="56"/>
      <c r="I10" s="56"/>
      <c r="J10" s="56"/>
      <c r="K10" s="127"/>
      <c r="M10" s="128"/>
      <c r="N10" s="128"/>
      <c r="O10" s="128"/>
    </row>
    <row r="11" spans="1:15" ht="14.25">
      <c r="A11" s="137" t="s">
        <v>8</v>
      </c>
      <c r="B11" s="138">
        <f>SUM(B7:B10)</f>
        <v>248920.66</v>
      </c>
      <c r="E11" s="333" t="s">
        <v>56</v>
      </c>
      <c r="F11" s="333"/>
      <c r="G11" s="109">
        <f>servizigenerali!E51</f>
        <v>114.42</v>
      </c>
      <c r="H11" s="56"/>
      <c r="I11" s="56"/>
      <c r="J11" s="56">
        <f>G11-H11</f>
        <v>114.42</v>
      </c>
      <c r="K11" s="127"/>
      <c r="M11" s="128"/>
      <c r="N11" s="128"/>
      <c r="O11" s="128"/>
    </row>
    <row r="12" spans="5:15" ht="12.75">
      <c r="E12" s="135"/>
      <c r="F12" s="135"/>
      <c r="G12" s="109"/>
      <c r="H12" s="56"/>
      <c r="I12" s="56"/>
      <c r="J12" s="56"/>
      <c r="K12" s="127"/>
      <c r="M12" s="128"/>
      <c r="N12" s="128"/>
      <c r="O12" s="128"/>
    </row>
    <row r="13" spans="2:15" ht="14.25">
      <c r="B13" s="135"/>
      <c r="C13" s="135"/>
      <c r="D13" s="135"/>
      <c r="E13" s="6" t="s">
        <v>8</v>
      </c>
      <c r="G13" s="138">
        <f>SUM(G7:G12)</f>
        <v>242183.67000000004</v>
      </c>
      <c r="H13" s="136"/>
      <c r="I13" s="136"/>
      <c r="J13" s="56">
        <f>G13-H13</f>
        <v>242183.67000000004</v>
      </c>
      <c r="K13" s="139">
        <f>G13-G7</f>
        <v>131481.87000000005</v>
      </c>
      <c r="L13" s="56">
        <f>I13-I7-I11</f>
        <v>0</v>
      </c>
      <c r="M13" s="128"/>
      <c r="N13" s="128"/>
      <c r="O13" s="128"/>
    </row>
    <row r="14" spans="7:15" ht="12.75">
      <c r="G14" s="109"/>
      <c r="I14" s="56"/>
      <c r="K14" s="127"/>
      <c r="M14" s="128"/>
      <c r="N14" s="128"/>
      <c r="O14" s="128"/>
    </row>
    <row r="15" spans="7:15" ht="12.75">
      <c r="G15" s="109"/>
      <c r="K15" s="127"/>
      <c r="M15" s="128"/>
      <c r="N15" s="128"/>
      <c r="O15" s="128"/>
    </row>
    <row r="16" spans="4:15" ht="15">
      <c r="D16" s="90"/>
      <c r="E16" s="140"/>
      <c r="F16" s="141" t="s">
        <v>11</v>
      </c>
      <c r="G16" s="142">
        <f>B11-G13</f>
        <v>6736.989999999962</v>
      </c>
      <c r="H16" s="143"/>
      <c r="I16" s="143"/>
      <c r="K16" s="127"/>
      <c r="M16" s="128"/>
      <c r="N16" s="128"/>
      <c r="O16" s="128"/>
    </row>
    <row r="17" spans="7:15" ht="12.75">
      <c r="G17" s="109"/>
      <c r="K17" s="127"/>
      <c r="M17" s="128"/>
      <c r="N17" s="128"/>
      <c r="O17" s="128"/>
    </row>
    <row r="18" spans="11:15" ht="12.75">
      <c r="K18" s="127"/>
      <c r="M18" s="128"/>
      <c r="N18" s="128"/>
      <c r="O18" s="128"/>
    </row>
    <row r="19" spans="1:11" ht="15">
      <c r="A19" s="327" t="s">
        <v>288</v>
      </c>
      <c r="B19" s="328"/>
      <c r="C19" s="328"/>
      <c r="D19" s="328"/>
      <c r="E19" s="328"/>
      <c r="F19" s="328"/>
      <c r="G19" s="328"/>
      <c r="H19" s="328"/>
      <c r="I19" s="329"/>
      <c r="K19" s="127"/>
    </row>
    <row r="20" spans="1:12" ht="30" customHeight="1">
      <c r="A20" s="334" t="s">
        <v>0</v>
      </c>
      <c r="B20" s="334"/>
      <c r="C20" s="144"/>
      <c r="D20" s="145"/>
      <c r="E20" s="146" t="s">
        <v>256</v>
      </c>
      <c r="F20" s="26" t="s">
        <v>251</v>
      </c>
      <c r="G20" s="133"/>
      <c r="H20" s="147"/>
      <c r="I20" s="27"/>
      <c r="K20" s="26" t="s">
        <v>166</v>
      </c>
      <c r="L20" s="26" t="s">
        <v>167</v>
      </c>
    </row>
    <row r="21" spans="1:15" ht="14.25">
      <c r="A21" s="335" t="s">
        <v>1</v>
      </c>
      <c r="B21" s="335"/>
      <c r="C21" s="148"/>
      <c r="D21" s="149"/>
      <c r="E21" s="109">
        <f aca="true" t="shared" si="0" ref="E21:E28">3600/8</f>
        <v>450</v>
      </c>
      <c r="F21" s="81">
        <v>30626</v>
      </c>
      <c r="G21" s="150"/>
      <c r="H21" s="56"/>
      <c r="I21" s="56"/>
      <c r="K21" s="127">
        <f>$K$13*D21/100</f>
        <v>0</v>
      </c>
      <c r="L21" s="2">
        <v>14990.02403912688</v>
      </c>
      <c r="M21" s="56"/>
      <c r="N21" s="56"/>
      <c r="O21" s="56"/>
    </row>
    <row r="22" spans="1:12" ht="14.25">
      <c r="A22" s="335" t="s">
        <v>2</v>
      </c>
      <c r="B22" s="335"/>
      <c r="C22" s="148"/>
      <c r="D22" s="149"/>
      <c r="E22" s="109">
        <f t="shared" si="0"/>
        <v>450</v>
      </c>
      <c r="F22" s="81">
        <v>15237</v>
      </c>
      <c r="G22" s="150"/>
      <c r="H22" s="56"/>
      <c r="I22" s="56"/>
      <c r="K22" s="127">
        <f aca="true" t="shared" si="1" ref="K22:K29">$K$13*D22/100</f>
        <v>0</v>
      </c>
      <c r="L22" s="2">
        <v>7611.659510442222</v>
      </c>
    </row>
    <row r="23" spans="1:12" ht="14.25">
      <c r="A23" s="335" t="s">
        <v>3</v>
      </c>
      <c r="B23" s="335"/>
      <c r="C23" s="148"/>
      <c r="D23" s="149"/>
      <c r="E23" s="109">
        <f t="shared" si="0"/>
        <v>450</v>
      </c>
      <c r="F23" s="81">
        <v>18312</v>
      </c>
      <c r="G23" s="150"/>
      <c r="H23" s="56"/>
      <c r="I23" s="56"/>
      <c r="K23" s="127">
        <f t="shared" si="1"/>
        <v>0</v>
      </c>
      <c r="L23" s="2">
        <v>8544.839437472481</v>
      </c>
    </row>
    <row r="24" spans="1:12" ht="14.25">
      <c r="A24" s="335" t="s">
        <v>9</v>
      </c>
      <c r="B24" s="335"/>
      <c r="C24" s="148"/>
      <c r="D24" s="149"/>
      <c r="E24" s="109">
        <f t="shared" si="0"/>
        <v>450</v>
      </c>
      <c r="F24" s="81">
        <v>54799</v>
      </c>
      <c r="G24" s="150"/>
      <c r="H24" s="56"/>
      <c r="I24" s="56"/>
      <c r="K24" s="127">
        <f t="shared" si="1"/>
        <v>0</v>
      </c>
      <c r="L24" s="2">
        <v>26666.2735838523</v>
      </c>
    </row>
    <row r="25" spans="1:12" ht="14.25">
      <c r="A25" s="335" t="s">
        <v>4</v>
      </c>
      <c r="B25" s="335"/>
      <c r="C25" s="148"/>
      <c r="D25" s="149"/>
      <c r="E25" s="109">
        <f t="shared" si="0"/>
        <v>450</v>
      </c>
      <c r="F25" s="81">
        <v>18080</v>
      </c>
      <c r="G25" s="150"/>
      <c r="H25" s="56"/>
      <c r="I25" s="56"/>
      <c r="K25" s="127">
        <f t="shared" si="1"/>
        <v>0</v>
      </c>
      <c r="L25" s="2">
        <v>8653.272316317545</v>
      </c>
    </row>
    <row r="26" spans="1:12" ht="14.25">
      <c r="A26" s="335" t="s">
        <v>5</v>
      </c>
      <c r="B26" s="335"/>
      <c r="C26" s="148"/>
      <c r="D26" s="149"/>
      <c r="E26" s="109">
        <f t="shared" si="0"/>
        <v>450</v>
      </c>
      <c r="F26" s="81">
        <v>22571</v>
      </c>
      <c r="G26" s="150"/>
      <c r="H26" s="56"/>
      <c r="I26" s="56"/>
      <c r="K26" s="127">
        <f t="shared" si="1"/>
        <v>0</v>
      </c>
      <c r="L26" s="2">
        <v>10884.360944675096</v>
      </c>
    </row>
    <row r="27" spans="1:12" ht="14.25">
      <c r="A27" s="335" t="s">
        <v>6</v>
      </c>
      <c r="B27" s="335"/>
      <c r="C27" s="148"/>
      <c r="D27" s="149"/>
      <c r="E27" s="109">
        <f t="shared" si="0"/>
        <v>450</v>
      </c>
      <c r="F27" s="81">
        <v>22163</v>
      </c>
      <c r="G27" s="150"/>
      <c r="H27" s="56"/>
      <c r="I27" s="56"/>
      <c r="K27" s="127">
        <f t="shared" si="1"/>
        <v>0</v>
      </c>
      <c r="L27" s="2">
        <v>10348.768240076744</v>
      </c>
    </row>
    <row r="28" spans="1:16" ht="14.25">
      <c r="A28" s="335" t="s">
        <v>7</v>
      </c>
      <c r="B28" s="335"/>
      <c r="C28" s="148"/>
      <c r="D28" s="149"/>
      <c r="E28" s="109">
        <f t="shared" si="0"/>
        <v>450</v>
      </c>
      <c r="F28" s="81">
        <v>35217</v>
      </c>
      <c r="G28" s="150"/>
      <c r="H28" s="56"/>
      <c r="I28" s="56"/>
      <c r="K28" s="127">
        <f t="shared" si="1"/>
        <v>0</v>
      </c>
      <c r="L28" s="2">
        <v>16770.951928036742</v>
      </c>
      <c r="P28" s="103"/>
    </row>
    <row r="29" spans="2:16" ht="17.25" customHeight="1">
      <c r="B29" s="151" t="s">
        <v>8</v>
      </c>
      <c r="D29" s="149"/>
      <c r="E29" s="152">
        <f>SUM(E21:E28)</f>
        <v>3600</v>
      </c>
      <c r="F29" s="138">
        <f>SUM(F21:F28)</f>
        <v>217005</v>
      </c>
      <c r="G29" s="136"/>
      <c r="H29" s="56"/>
      <c r="I29" s="136"/>
      <c r="K29" s="127">
        <f t="shared" si="1"/>
        <v>0</v>
      </c>
      <c r="L29" s="2">
        <f>SUM(L21:L28)</f>
        <v>104470.15000000001</v>
      </c>
      <c r="M29" s="103"/>
      <c r="N29" s="103"/>
      <c r="O29" s="103"/>
      <c r="P29" s="103"/>
    </row>
    <row r="30" spans="1:11" ht="20.25" customHeight="1">
      <c r="A30" s="340" t="s">
        <v>226</v>
      </c>
      <c r="B30" s="340"/>
      <c r="C30" s="340"/>
      <c r="D30" s="340"/>
      <c r="E30" s="340"/>
      <c r="F30" s="340"/>
      <c r="G30" s="340"/>
      <c r="H30" s="340"/>
      <c r="I30" s="340"/>
      <c r="K30" s="127"/>
    </row>
    <row r="31" spans="1:11" ht="18" customHeight="1" thickBot="1">
      <c r="A31" s="341" t="s">
        <v>75</v>
      </c>
      <c r="B31" s="341"/>
      <c r="C31" s="341"/>
      <c r="D31" s="341"/>
      <c r="E31" s="341"/>
      <c r="F31" s="341"/>
      <c r="G31" s="341"/>
      <c r="H31" s="341"/>
      <c r="I31" s="341"/>
      <c r="K31" s="127"/>
    </row>
    <row r="32" spans="1:11" ht="26.25" customHeight="1" thickBot="1">
      <c r="A32" s="337" t="s">
        <v>57</v>
      </c>
      <c r="B32" s="338"/>
      <c r="C32" s="338"/>
      <c r="D32" s="338"/>
      <c r="E32" s="338"/>
      <c r="F32" s="338"/>
      <c r="G32" s="338"/>
      <c r="H32" s="338"/>
      <c r="I32" s="339"/>
      <c r="K32" s="127"/>
    </row>
    <row r="33" spans="11:15" ht="12.75">
      <c r="K33" s="127"/>
      <c r="M33" s="128"/>
      <c r="N33" s="128"/>
      <c r="O33" s="128"/>
    </row>
    <row r="34" spans="1:11" ht="15">
      <c r="A34" s="322" t="s">
        <v>258</v>
      </c>
      <c r="B34" s="323"/>
      <c r="C34" s="323"/>
      <c r="D34" s="324"/>
      <c r="E34" s="322" t="s">
        <v>17</v>
      </c>
      <c r="F34" s="323"/>
      <c r="G34" s="323"/>
      <c r="H34" s="323"/>
      <c r="I34" s="324"/>
      <c r="K34" s="127"/>
    </row>
    <row r="35" spans="1:11" ht="15">
      <c r="A35" s="132"/>
      <c r="B35" s="26" t="s">
        <v>233</v>
      </c>
      <c r="C35" s="133"/>
      <c r="D35" s="27"/>
      <c r="E35" s="132"/>
      <c r="F35" s="132"/>
      <c r="G35" s="26" t="s">
        <v>227</v>
      </c>
      <c r="H35" s="133"/>
      <c r="I35" s="27"/>
      <c r="J35" s="2" t="s">
        <v>127</v>
      </c>
      <c r="K35" s="127"/>
    </row>
    <row r="36" spans="1:11" ht="28.5">
      <c r="A36" s="153" t="s">
        <v>124</v>
      </c>
      <c r="B36" s="81">
        <f>suap!B7</f>
        <v>3597</v>
      </c>
      <c r="C36" s="150"/>
      <c r="D36" s="56"/>
      <c r="E36" s="330" t="s">
        <v>43</v>
      </c>
      <c r="F36" s="330"/>
      <c r="G36" s="109">
        <f>suap!E14</f>
        <v>215980.56</v>
      </c>
      <c r="H36" s="56"/>
      <c r="I36" s="56"/>
      <c r="J36" s="56">
        <f>G36-H36</f>
        <v>215980.56</v>
      </c>
      <c r="K36" s="127"/>
    </row>
    <row r="37" spans="1:11" ht="14.25">
      <c r="A37" s="153" t="s">
        <v>38</v>
      </c>
      <c r="B37" s="81">
        <f>suap!B8</f>
        <v>66000</v>
      </c>
      <c r="C37" s="150"/>
      <c r="D37" s="56"/>
      <c r="E37" s="330" t="s">
        <v>44</v>
      </c>
      <c r="F37" s="330"/>
      <c r="G37" s="109">
        <f>suap!E17</f>
        <v>910.6</v>
      </c>
      <c r="H37" s="56"/>
      <c r="I37" s="56"/>
      <c r="J37" s="56">
        <f aca="true" t="shared" si="2" ref="J37:J43">G37-H37</f>
        <v>910.6</v>
      </c>
      <c r="K37" s="127"/>
    </row>
    <row r="38" spans="1:11" ht="14.25">
      <c r="A38" s="153" t="s">
        <v>259</v>
      </c>
      <c r="B38" s="155">
        <f>suap!B9</f>
        <v>152859</v>
      </c>
      <c r="C38" s="136"/>
      <c r="D38" s="136"/>
      <c r="E38" s="330" t="s">
        <v>45</v>
      </c>
      <c r="F38" s="330"/>
      <c r="G38" s="109">
        <f>suap!E28</f>
        <v>6581.14</v>
      </c>
      <c r="H38" s="56"/>
      <c r="I38" s="56"/>
      <c r="J38" s="56">
        <f t="shared" si="2"/>
        <v>6581.14</v>
      </c>
      <c r="K38" s="127"/>
    </row>
    <row r="39" spans="1:11" ht="14.25">
      <c r="A39" s="137" t="s">
        <v>8</v>
      </c>
      <c r="B39" s="138">
        <f>SUM(B36:B38)</f>
        <v>222456</v>
      </c>
      <c r="E39" s="330" t="s">
        <v>46</v>
      </c>
      <c r="F39" s="330"/>
      <c r="G39" s="109">
        <f>suap!E30</f>
        <v>1653.1999999999998</v>
      </c>
      <c r="H39" s="56"/>
      <c r="I39" s="56"/>
      <c r="J39" s="56">
        <f t="shared" si="2"/>
        <v>1653.1999999999998</v>
      </c>
      <c r="K39" s="127"/>
    </row>
    <row r="40" spans="5:15" ht="12.75">
      <c r="E40" s="156"/>
      <c r="F40" s="137" t="s">
        <v>8</v>
      </c>
      <c r="G40" s="152">
        <f>SUM(G36:G39)</f>
        <v>225125.50000000003</v>
      </c>
      <c r="H40" s="157"/>
      <c r="I40" s="157"/>
      <c r="J40" s="56">
        <f t="shared" si="2"/>
        <v>225125.50000000003</v>
      </c>
      <c r="K40" s="139">
        <f>(G40-G36-G39)*-1</f>
        <v>-7491.740000000032</v>
      </c>
      <c r="L40" s="56">
        <f>I40-I36</f>
        <v>0</v>
      </c>
      <c r="M40" s="128"/>
      <c r="N40" s="128"/>
      <c r="O40" s="128"/>
    </row>
    <row r="41" spans="7:11" ht="12.75">
      <c r="G41" s="109"/>
      <c r="J41" s="56"/>
      <c r="K41" s="127"/>
    </row>
    <row r="42" spans="7:15" ht="12.75">
      <c r="G42" s="109"/>
      <c r="J42" s="56"/>
      <c r="K42" s="127"/>
      <c r="M42" s="103"/>
      <c r="N42" s="103"/>
      <c r="O42" s="103"/>
    </row>
    <row r="43" spans="4:15" ht="15">
      <c r="D43" s="90"/>
      <c r="E43" s="140"/>
      <c r="F43" s="159" t="s">
        <v>11</v>
      </c>
      <c r="G43" s="142">
        <f>B39-G40</f>
        <v>-2669.500000000029</v>
      </c>
      <c r="H43" s="143"/>
      <c r="I43" s="143"/>
      <c r="J43" s="56">
        <f t="shared" si="2"/>
        <v>-2669.500000000029</v>
      </c>
      <c r="K43" s="127"/>
      <c r="M43" s="103"/>
      <c r="N43" s="103"/>
      <c r="O43" s="103"/>
    </row>
    <row r="44" spans="10:11" ht="12.75">
      <c r="J44" s="103"/>
      <c r="K44" s="127"/>
    </row>
    <row r="45" ht="12.75">
      <c r="K45" s="127"/>
    </row>
    <row r="46" spans="1:11" ht="15">
      <c r="A46" s="327" t="s">
        <v>289</v>
      </c>
      <c r="B46" s="328"/>
      <c r="C46" s="328"/>
      <c r="D46" s="328"/>
      <c r="E46" s="328"/>
      <c r="F46" s="328"/>
      <c r="G46" s="328"/>
      <c r="H46" s="328"/>
      <c r="I46" s="329"/>
      <c r="K46" s="127"/>
    </row>
    <row r="47" spans="1:11" ht="14.25">
      <c r="A47" s="336" t="s">
        <v>0</v>
      </c>
      <c r="B47" s="336"/>
      <c r="C47" s="144"/>
      <c r="D47" s="160"/>
      <c r="E47" s="160"/>
      <c r="F47" s="26" t="s">
        <v>251</v>
      </c>
      <c r="G47" s="133"/>
      <c r="H47" s="147"/>
      <c r="I47" s="27"/>
      <c r="K47" s="127"/>
    </row>
    <row r="48" spans="1:12" ht="14.25">
      <c r="A48" s="325" t="s">
        <v>1</v>
      </c>
      <c r="B48" s="325"/>
      <c r="C48" s="148"/>
      <c r="D48" s="149"/>
      <c r="E48" s="56"/>
      <c r="F48" s="81">
        <v>39224</v>
      </c>
      <c r="G48" s="150"/>
      <c r="H48" s="56"/>
      <c r="I48" s="56"/>
      <c r="K48" s="161">
        <f>($K$40*0.3/8)*-1+D48/100*($K$40*-1*0.7)</f>
        <v>280.9402500000012</v>
      </c>
      <c r="L48" s="56">
        <v>5172.148334851755</v>
      </c>
    </row>
    <row r="49" spans="1:12" ht="14.25">
      <c r="A49" s="325" t="s">
        <v>2</v>
      </c>
      <c r="B49" s="325"/>
      <c r="C49" s="148"/>
      <c r="D49" s="149"/>
      <c r="E49" s="56"/>
      <c r="F49" s="81">
        <v>19321</v>
      </c>
      <c r="G49" s="150"/>
      <c r="H49" s="56"/>
      <c r="I49" s="56"/>
      <c r="K49" s="161">
        <f aca="true" t="shared" si="3" ref="K49:K55">($K$40*0.3/8)*-1+D49/100*($K$40*-1*0.7)</f>
        <v>280.9402500000012</v>
      </c>
      <c r="L49" s="56">
        <v>2082.2593626466933</v>
      </c>
    </row>
    <row r="50" spans="1:12" ht="14.25">
      <c r="A50" s="325" t="s">
        <v>3</v>
      </c>
      <c r="B50" s="325"/>
      <c r="C50" s="148"/>
      <c r="D50" s="149"/>
      <c r="E50" s="56"/>
      <c r="F50" s="81">
        <v>15576</v>
      </c>
      <c r="G50" s="150"/>
      <c r="H50" s="56"/>
      <c r="I50" s="56"/>
      <c r="K50" s="161">
        <f t="shared" si="3"/>
        <v>280.9402500000012</v>
      </c>
      <c r="L50" s="56">
        <v>1657.1952712322404</v>
      </c>
    </row>
    <row r="51" spans="1:12" ht="14.25">
      <c r="A51" s="325" t="s">
        <v>9</v>
      </c>
      <c r="B51" s="325"/>
      <c r="C51" s="148"/>
      <c r="D51" s="149"/>
      <c r="E51" s="56"/>
      <c r="F51" s="81">
        <v>26278</v>
      </c>
      <c r="G51" s="150"/>
      <c r="H51" s="56"/>
      <c r="I51" s="56"/>
      <c r="K51" s="161">
        <f t="shared" si="3"/>
        <v>280.9402500000012</v>
      </c>
      <c r="L51" s="56">
        <v>3741.644181053115</v>
      </c>
    </row>
    <row r="52" spans="1:12" ht="14.25">
      <c r="A52" s="325" t="s">
        <v>4</v>
      </c>
      <c r="B52" s="325"/>
      <c r="C52" s="148"/>
      <c r="D52" s="149"/>
      <c r="E52" s="56"/>
      <c r="F52" s="81">
        <v>11831</v>
      </c>
      <c r="G52" s="150"/>
      <c r="H52" s="56"/>
      <c r="I52" s="56"/>
      <c r="K52" s="161">
        <f t="shared" si="3"/>
        <v>280.9402500000012</v>
      </c>
      <c r="L52" s="56">
        <v>1191.2596325663976</v>
      </c>
    </row>
    <row r="53" spans="1:12" ht="14.25">
      <c r="A53" s="325" t="s">
        <v>5</v>
      </c>
      <c r="B53" s="325"/>
      <c r="C53" s="148"/>
      <c r="D53" s="149"/>
      <c r="E53" s="56"/>
      <c r="F53" s="81">
        <v>12366</v>
      </c>
      <c r="G53" s="150"/>
      <c r="H53" s="56"/>
      <c r="I53" s="56"/>
      <c r="K53" s="161">
        <f t="shared" si="3"/>
        <v>280.9402500000012</v>
      </c>
      <c r="L53" s="56">
        <v>1371.0944404725124</v>
      </c>
    </row>
    <row r="54" spans="1:12" ht="14.25">
      <c r="A54" s="325" t="s">
        <v>6</v>
      </c>
      <c r="B54" s="325"/>
      <c r="C54" s="148"/>
      <c r="D54" s="149"/>
      <c r="E54" s="56"/>
      <c r="F54" s="81">
        <v>16432</v>
      </c>
      <c r="G54" s="150"/>
      <c r="H54" s="56"/>
      <c r="I54" s="56"/>
      <c r="K54" s="161">
        <f t="shared" si="3"/>
        <v>280.9402500000012</v>
      </c>
      <c r="L54" s="56">
        <v>1951.4704114422461</v>
      </c>
    </row>
    <row r="55" spans="1:12" ht="14.25">
      <c r="A55" s="325" t="s">
        <v>7</v>
      </c>
      <c r="B55" s="325"/>
      <c r="C55" s="148"/>
      <c r="D55" s="149"/>
      <c r="E55" s="56"/>
      <c r="F55" s="81">
        <v>11831</v>
      </c>
      <c r="G55" s="150"/>
      <c r="H55" s="56"/>
      <c r="I55" s="56"/>
      <c r="K55" s="161">
        <f t="shared" si="3"/>
        <v>280.9402500000012</v>
      </c>
      <c r="L55" s="56">
        <v>1738.93836573502</v>
      </c>
    </row>
    <row r="56" spans="2:15" ht="17.25" customHeight="1">
      <c r="B56" s="162" t="s">
        <v>8</v>
      </c>
      <c r="C56" s="162"/>
      <c r="D56" s="149"/>
      <c r="E56" s="56"/>
      <c r="F56" s="37">
        <f>SUM(F48:F55)</f>
        <v>152859</v>
      </c>
      <c r="G56" s="38"/>
      <c r="H56" s="32"/>
      <c r="I56" s="38"/>
      <c r="J56" s="103"/>
      <c r="K56" s="161">
        <f>SUM(K48:K55)</f>
        <v>2247.5220000000095</v>
      </c>
      <c r="L56" s="56">
        <f>SUM(L48:L55)</f>
        <v>18906.00999999998</v>
      </c>
      <c r="M56" s="103"/>
      <c r="N56" s="103"/>
      <c r="O56" s="103"/>
    </row>
    <row r="57" spans="1:11" ht="18">
      <c r="A57" s="340" t="s">
        <v>226</v>
      </c>
      <c r="B57" s="340"/>
      <c r="C57" s="340"/>
      <c r="D57" s="340"/>
      <c r="E57" s="340"/>
      <c r="F57" s="340"/>
      <c r="G57" s="340"/>
      <c r="H57" s="340"/>
      <c r="I57" s="340"/>
      <c r="K57" s="127"/>
    </row>
    <row r="58" spans="1:11" ht="18.75" thickBot="1">
      <c r="A58" s="341" t="s">
        <v>75</v>
      </c>
      <c r="B58" s="341"/>
      <c r="C58" s="341"/>
      <c r="D58" s="341"/>
      <c r="E58" s="341"/>
      <c r="F58" s="341"/>
      <c r="G58" s="341"/>
      <c r="H58" s="341"/>
      <c r="I58" s="341"/>
      <c r="K58" s="127"/>
    </row>
    <row r="59" spans="1:11" ht="23.25" thickBot="1">
      <c r="A59" s="337" t="s">
        <v>58</v>
      </c>
      <c r="B59" s="338"/>
      <c r="C59" s="338"/>
      <c r="D59" s="338"/>
      <c r="E59" s="338"/>
      <c r="F59" s="338"/>
      <c r="G59" s="338"/>
      <c r="H59" s="338"/>
      <c r="I59" s="339"/>
      <c r="K59" s="127"/>
    </row>
    <row r="60" ht="12.75">
      <c r="K60" s="127"/>
    </row>
    <row r="61" spans="1:11" ht="15">
      <c r="A61" s="322" t="s">
        <v>258</v>
      </c>
      <c r="B61" s="323"/>
      <c r="C61" s="323"/>
      <c r="D61" s="324"/>
      <c r="E61" s="322" t="s">
        <v>17</v>
      </c>
      <c r="F61" s="323"/>
      <c r="G61" s="323"/>
      <c r="H61" s="323"/>
      <c r="I61" s="324"/>
      <c r="K61" s="127"/>
    </row>
    <row r="62" spans="1:11" ht="15">
      <c r="A62" s="132"/>
      <c r="B62" s="26" t="s">
        <v>233</v>
      </c>
      <c r="C62" s="133"/>
      <c r="D62" s="27"/>
      <c r="E62" s="132"/>
      <c r="F62" s="132"/>
      <c r="G62" s="26" t="s">
        <v>227</v>
      </c>
      <c r="H62" s="133"/>
      <c r="I62" s="27"/>
      <c r="J62" s="2" t="s">
        <v>127</v>
      </c>
      <c r="K62" s="127"/>
    </row>
    <row r="63" spans="1:11" ht="28.5">
      <c r="A63" s="153" t="s">
        <v>124</v>
      </c>
      <c r="B63" s="81">
        <f>si!B7</f>
        <v>15352</v>
      </c>
      <c r="C63" s="150"/>
      <c r="D63" s="150"/>
      <c r="E63" s="330" t="s">
        <v>189</v>
      </c>
      <c r="F63" s="342"/>
      <c r="G63" s="109">
        <f>si!E13</f>
        <v>1000</v>
      </c>
      <c r="H63" s="56"/>
      <c r="I63" s="56"/>
      <c r="J63" s="56">
        <f>G63-H63</f>
        <v>1000</v>
      </c>
      <c r="K63" s="127"/>
    </row>
    <row r="64" spans="1:11" ht="29.25" customHeight="1">
      <c r="A64" s="153" t="s">
        <v>259</v>
      </c>
      <c r="B64" s="109">
        <f>si!B8</f>
        <v>58152</v>
      </c>
      <c r="E64" s="330" t="s">
        <v>59</v>
      </c>
      <c r="F64" s="342"/>
      <c r="G64" s="109">
        <f>si!E22</f>
        <v>63474.840000000004</v>
      </c>
      <c r="H64" s="56"/>
      <c r="I64" s="56"/>
      <c r="J64" s="56">
        <f>G64-H64</f>
        <v>63474.840000000004</v>
      </c>
      <c r="K64" s="127"/>
    </row>
    <row r="65" spans="2:11" ht="29.25" customHeight="1">
      <c r="B65" s="109"/>
      <c r="E65" s="330" t="s">
        <v>112</v>
      </c>
      <c r="F65" s="342"/>
      <c r="G65" s="109">
        <f>si!E26</f>
        <v>9696.9</v>
      </c>
      <c r="H65" s="56"/>
      <c r="I65" s="56"/>
      <c r="J65" s="56">
        <f>G65-H65</f>
        <v>9696.9</v>
      </c>
      <c r="K65" s="127"/>
    </row>
    <row r="66" spans="1:12" ht="14.25">
      <c r="A66" s="137" t="s">
        <v>8</v>
      </c>
      <c r="B66" s="138">
        <f>SUM(B63:B64)</f>
        <v>73504</v>
      </c>
      <c r="C66" s="136"/>
      <c r="D66" s="136"/>
      <c r="F66" s="6" t="s">
        <v>8</v>
      </c>
      <c r="G66" s="152">
        <f>SUM(G63:G65)</f>
        <v>74171.74</v>
      </c>
      <c r="H66" s="157"/>
      <c r="I66" s="157"/>
      <c r="J66" s="56">
        <f>G66-H66</f>
        <v>74171.74</v>
      </c>
      <c r="K66" s="139">
        <f>G66-G65</f>
        <v>64474.840000000004</v>
      </c>
      <c r="L66" s="56">
        <f>I66</f>
        <v>0</v>
      </c>
    </row>
    <row r="67" spans="5:11" ht="12.75">
      <c r="E67" s="156"/>
      <c r="F67" s="6"/>
      <c r="G67" s="109"/>
      <c r="K67" s="127"/>
    </row>
    <row r="68" spans="6:11" ht="12.75">
      <c r="F68" s="6"/>
      <c r="G68" s="109"/>
      <c r="K68" s="127"/>
    </row>
    <row r="69" spans="4:15" ht="15">
      <c r="D69" s="90"/>
      <c r="E69" s="140"/>
      <c r="F69" s="159" t="s">
        <v>11</v>
      </c>
      <c r="G69" s="142">
        <f>B66-G66</f>
        <v>-667.7400000000052</v>
      </c>
      <c r="H69" s="143"/>
      <c r="I69" s="143"/>
      <c r="J69" s="56">
        <f>G69-H69</f>
        <v>-667.7400000000052</v>
      </c>
      <c r="K69" s="127"/>
      <c r="M69" s="103"/>
      <c r="N69" s="103"/>
      <c r="O69" s="103"/>
    </row>
    <row r="70" spans="6:11" ht="12.75">
      <c r="F70" s="6"/>
      <c r="K70" s="127"/>
    </row>
    <row r="71" spans="1:11" ht="12.75">
      <c r="A71" s="163"/>
      <c r="K71" s="127"/>
    </row>
    <row r="72" spans="7:15" ht="12.75">
      <c r="G72" s="56"/>
      <c r="K72" s="127"/>
      <c r="M72" s="128"/>
      <c r="N72" s="128"/>
      <c r="O72" s="128"/>
    </row>
    <row r="73" spans="1:11" ht="12.75">
      <c r="A73" s="163"/>
      <c r="K73" s="127"/>
    </row>
    <row r="74" spans="1:11" ht="15">
      <c r="A74" s="327" t="s">
        <v>290</v>
      </c>
      <c r="B74" s="328"/>
      <c r="C74" s="328"/>
      <c r="D74" s="328"/>
      <c r="E74" s="328"/>
      <c r="F74" s="328"/>
      <c r="G74" s="328"/>
      <c r="H74" s="328"/>
      <c r="I74" s="329"/>
      <c r="K74" s="127"/>
    </row>
    <row r="75" spans="1:11" ht="14.25">
      <c r="A75" s="336" t="s">
        <v>0</v>
      </c>
      <c r="B75" s="336"/>
      <c r="C75" s="144"/>
      <c r="D75" s="160"/>
      <c r="E75" s="160"/>
      <c r="F75" s="26" t="s">
        <v>251</v>
      </c>
      <c r="G75" s="133"/>
      <c r="H75" s="147"/>
      <c r="I75" s="27"/>
      <c r="K75" s="127"/>
    </row>
    <row r="76" spans="1:12" ht="14.25">
      <c r="A76" s="325" t="s">
        <v>1</v>
      </c>
      <c r="B76" s="325"/>
      <c r="C76" s="148"/>
      <c r="D76" s="149"/>
      <c r="E76" s="56"/>
      <c r="F76" s="109">
        <v>7926</v>
      </c>
      <c r="G76" s="56"/>
      <c r="H76" s="56"/>
      <c r="I76" s="56"/>
      <c r="K76" s="127">
        <f>($K$66*0.3/8)+($K$66*0.7*D76/100)</f>
        <v>2417.8065</v>
      </c>
      <c r="L76" s="2">
        <v>6109.2201698590925</v>
      </c>
    </row>
    <row r="77" spans="1:12" ht="14.25">
      <c r="A77" s="325" t="s">
        <v>2</v>
      </c>
      <c r="B77" s="325"/>
      <c r="C77" s="148"/>
      <c r="D77" s="149"/>
      <c r="E77" s="56"/>
      <c r="F77" s="109">
        <v>5039</v>
      </c>
      <c r="G77" s="56"/>
      <c r="H77" s="56"/>
      <c r="I77" s="56"/>
      <c r="K77" s="127">
        <f aca="true" t="shared" si="4" ref="K77:K83">($K$66*0.3/8)+($K$66*0.7*D77/100)</f>
        <v>2417.8065</v>
      </c>
      <c r="L77" s="2">
        <v>3919.642117679436</v>
      </c>
    </row>
    <row r="78" spans="1:12" ht="14.25">
      <c r="A78" s="325" t="s">
        <v>3</v>
      </c>
      <c r="B78" s="325"/>
      <c r="C78" s="148"/>
      <c r="D78" s="149"/>
      <c r="E78" s="56"/>
      <c r="F78" s="109">
        <v>5616</v>
      </c>
      <c r="G78" s="56"/>
      <c r="H78" s="56"/>
      <c r="I78" s="56"/>
      <c r="K78" s="127">
        <f t="shared" si="4"/>
        <v>2417.8065</v>
      </c>
      <c r="L78" s="2">
        <v>4196.569379678555</v>
      </c>
    </row>
    <row r="79" spans="1:12" ht="14.25">
      <c r="A79" s="325" t="s">
        <v>9</v>
      </c>
      <c r="B79" s="325"/>
      <c r="C79" s="148"/>
      <c r="D79" s="149"/>
      <c r="E79" s="56"/>
      <c r="F79" s="109">
        <v>12460</v>
      </c>
      <c r="G79" s="56"/>
      <c r="H79" s="56"/>
      <c r="I79" s="56"/>
      <c r="K79" s="127">
        <f t="shared" si="4"/>
        <v>2417.8065</v>
      </c>
      <c r="L79" s="2">
        <v>9574.223780823424</v>
      </c>
    </row>
    <row r="80" spans="1:12" ht="14.25">
      <c r="A80" s="325" t="s">
        <v>4</v>
      </c>
      <c r="B80" s="325"/>
      <c r="C80" s="148"/>
      <c r="D80" s="149"/>
      <c r="E80" s="56"/>
      <c r="F80" s="109">
        <v>5571</v>
      </c>
      <c r="G80" s="56"/>
      <c r="H80" s="56"/>
      <c r="I80" s="56"/>
      <c r="K80" s="127">
        <f t="shared" si="4"/>
        <v>2417.8065</v>
      </c>
      <c r="L80" s="2">
        <v>4228.747547446059</v>
      </c>
    </row>
    <row r="81" spans="1:12" ht="14.25">
      <c r="A81" s="325" t="s">
        <v>5</v>
      </c>
      <c r="B81" s="325"/>
      <c r="C81" s="148"/>
      <c r="D81" s="149"/>
      <c r="E81" s="56"/>
      <c r="F81" s="109">
        <v>6415</v>
      </c>
      <c r="G81" s="56"/>
      <c r="H81" s="56"/>
      <c r="I81" s="56"/>
      <c r="K81" s="127">
        <f t="shared" si="4"/>
        <v>2417.8065</v>
      </c>
      <c r="L81" s="2">
        <v>4890.837726662263</v>
      </c>
    </row>
    <row r="82" spans="1:12" ht="14.25">
      <c r="A82" s="325" t="s">
        <v>6</v>
      </c>
      <c r="B82" s="325"/>
      <c r="C82" s="148"/>
      <c r="D82" s="149"/>
      <c r="E82" s="56"/>
      <c r="F82" s="109">
        <v>6338</v>
      </c>
      <c r="G82" s="56"/>
      <c r="H82" s="56"/>
      <c r="I82" s="56"/>
      <c r="K82" s="127">
        <f t="shared" si="4"/>
        <v>2417.8065</v>
      </c>
      <c r="L82" s="2">
        <v>4731.897079810656</v>
      </c>
    </row>
    <row r="83" spans="1:12" ht="14.25">
      <c r="A83" s="325" t="s">
        <v>7</v>
      </c>
      <c r="B83" s="325"/>
      <c r="C83" s="148"/>
      <c r="D83" s="149"/>
      <c r="E83" s="56"/>
      <c r="F83" s="109">
        <v>8787</v>
      </c>
      <c r="G83" s="56"/>
      <c r="H83" s="56"/>
      <c r="I83" s="56"/>
      <c r="K83" s="127">
        <f t="shared" si="4"/>
        <v>2417.8065</v>
      </c>
      <c r="L83" s="2">
        <v>6637.722198040512</v>
      </c>
    </row>
    <row r="84" spans="2:15" ht="17.25" customHeight="1">
      <c r="B84" s="162" t="s">
        <v>8</v>
      </c>
      <c r="C84" s="162"/>
      <c r="D84" s="149"/>
      <c r="E84" s="149"/>
      <c r="F84" s="152">
        <f>SUM(F76:F83)</f>
        <v>58152</v>
      </c>
      <c r="G84" s="38"/>
      <c r="H84" s="39"/>
      <c r="I84" s="38"/>
      <c r="K84" s="127">
        <f>SUM(K76:K83)</f>
        <v>19342.452</v>
      </c>
      <c r="L84" s="2">
        <f>SUM(L76:L83)</f>
        <v>44288.859999999986</v>
      </c>
      <c r="M84" s="103"/>
      <c r="N84" s="103"/>
      <c r="O84" s="103"/>
    </row>
    <row r="85" ht="12.75">
      <c r="K85" s="127"/>
    </row>
    <row r="86" spans="1:11" ht="18">
      <c r="A86" s="340" t="s">
        <v>226</v>
      </c>
      <c r="B86" s="340"/>
      <c r="C86" s="340"/>
      <c r="D86" s="340"/>
      <c r="E86" s="340"/>
      <c r="F86" s="340"/>
      <c r="G86" s="340"/>
      <c r="H86" s="340"/>
      <c r="I86" s="340"/>
      <c r="K86" s="127"/>
    </row>
    <row r="87" spans="1:11" ht="18.75" thickBot="1">
      <c r="A87" s="341" t="s">
        <v>75</v>
      </c>
      <c r="B87" s="341"/>
      <c r="C87" s="341"/>
      <c r="D87" s="341"/>
      <c r="E87" s="341"/>
      <c r="F87" s="341"/>
      <c r="G87" s="341"/>
      <c r="H87" s="341"/>
      <c r="I87" s="341"/>
      <c r="K87" s="127"/>
    </row>
    <row r="88" spans="1:11" ht="23.25" thickBot="1">
      <c r="A88" s="337" t="s">
        <v>22</v>
      </c>
      <c r="B88" s="338"/>
      <c r="C88" s="338"/>
      <c r="D88" s="338"/>
      <c r="E88" s="338"/>
      <c r="F88" s="338"/>
      <c r="G88" s="338"/>
      <c r="H88" s="338"/>
      <c r="I88" s="339"/>
      <c r="K88" s="127"/>
    </row>
    <row r="89" ht="12.75">
      <c r="K89" s="127"/>
    </row>
    <row r="90" spans="1:11" ht="15">
      <c r="A90" s="322" t="s">
        <v>258</v>
      </c>
      <c r="B90" s="323"/>
      <c r="C90" s="323"/>
      <c r="D90" s="324"/>
      <c r="E90" s="322" t="s">
        <v>17</v>
      </c>
      <c r="F90" s="323"/>
      <c r="G90" s="323"/>
      <c r="H90" s="323"/>
      <c r="I90" s="324"/>
      <c r="K90" s="127"/>
    </row>
    <row r="91" spans="1:11" ht="15">
      <c r="A91" s="132"/>
      <c r="B91" s="26" t="s">
        <v>233</v>
      </c>
      <c r="C91" s="133"/>
      <c r="D91" s="27"/>
      <c r="E91" s="132"/>
      <c r="F91" s="132"/>
      <c r="G91" s="26" t="s">
        <v>227</v>
      </c>
      <c r="H91" s="133"/>
      <c r="I91" s="27"/>
      <c r="J91" s="2" t="s">
        <v>127</v>
      </c>
      <c r="K91" s="127"/>
    </row>
    <row r="92" spans="1:11" ht="28.5">
      <c r="A92" s="153" t="s">
        <v>124</v>
      </c>
      <c r="B92" s="81">
        <f>uffpiano!B7</f>
        <v>14475</v>
      </c>
      <c r="C92" s="150"/>
      <c r="D92" s="150"/>
      <c r="E92" s="343" t="s">
        <v>60</v>
      </c>
      <c r="F92" s="343"/>
      <c r="G92" s="109">
        <f>uffpiano!E20</f>
        <v>0</v>
      </c>
      <c r="H92" s="56"/>
      <c r="I92" s="56"/>
      <c r="K92" s="127"/>
    </row>
    <row r="93" spans="1:11" ht="14.25">
      <c r="A93" s="137" t="s">
        <v>8</v>
      </c>
      <c r="B93" s="138">
        <f>SUM(B92:B92)</f>
        <v>14475</v>
      </c>
      <c r="C93" s="136"/>
      <c r="D93" s="136"/>
      <c r="F93" s="6" t="s">
        <v>8</v>
      </c>
      <c r="G93" s="152">
        <f>SUM(G92)</f>
        <v>0</v>
      </c>
      <c r="H93" s="157"/>
      <c r="I93" s="157"/>
      <c r="K93" s="127"/>
    </row>
    <row r="94" spans="7:11" ht="12.75">
      <c r="G94" s="109"/>
      <c r="K94" s="127"/>
    </row>
    <row r="95" spans="5:11" ht="12.75">
      <c r="E95" s="156"/>
      <c r="F95" s="6"/>
      <c r="G95" s="109"/>
      <c r="K95" s="127"/>
    </row>
    <row r="96" spans="1:11" ht="15">
      <c r="A96" s="164"/>
      <c r="D96" s="90"/>
      <c r="E96" s="140"/>
      <c r="F96" s="159" t="s">
        <v>11</v>
      </c>
      <c r="G96" s="142">
        <v>0</v>
      </c>
      <c r="H96" s="143"/>
      <c r="I96" s="143"/>
      <c r="J96" s="103">
        <f>G96-H96</f>
        <v>0</v>
      </c>
      <c r="K96" s="127"/>
    </row>
    <row r="97" spans="6:11" ht="12.75">
      <c r="F97" s="6"/>
      <c r="K97" s="127"/>
    </row>
    <row r="98" spans="1:11" ht="12.75">
      <c r="A98" s="163"/>
      <c r="K98" s="127"/>
    </row>
    <row r="99" spans="7:15" ht="12.75">
      <c r="G99" s="56"/>
      <c r="K99" s="127"/>
      <c r="M99" s="128"/>
      <c r="N99" s="128"/>
      <c r="O99" s="128"/>
    </row>
    <row r="100" spans="1:11" ht="12.75">
      <c r="A100" s="163"/>
      <c r="K100" s="127"/>
    </row>
    <row r="101" spans="1:11" ht="15">
      <c r="A101" s="327" t="s">
        <v>290</v>
      </c>
      <c r="B101" s="328"/>
      <c r="C101" s="328"/>
      <c r="D101" s="328"/>
      <c r="E101" s="328"/>
      <c r="F101" s="328"/>
      <c r="G101" s="328"/>
      <c r="H101" s="328"/>
      <c r="I101" s="329"/>
      <c r="K101" s="127"/>
    </row>
    <row r="102" spans="1:11" ht="14.25">
      <c r="A102" s="336" t="s">
        <v>0</v>
      </c>
      <c r="B102" s="336"/>
      <c r="C102" s="144"/>
      <c r="D102" s="160"/>
      <c r="E102" s="160"/>
      <c r="F102" s="26" t="s">
        <v>251</v>
      </c>
      <c r="G102" s="133"/>
      <c r="H102" s="147"/>
      <c r="I102" s="27"/>
      <c r="K102" s="127"/>
    </row>
    <row r="103" spans="1:11" ht="14.25">
      <c r="A103" s="325" t="s">
        <v>1</v>
      </c>
      <c r="B103" s="325"/>
      <c r="C103" s="148"/>
      <c r="D103" s="149"/>
      <c r="E103" s="56"/>
      <c r="F103" s="109">
        <v>-1973</v>
      </c>
      <c r="G103" s="56"/>
      <c r="H103" s="56"/>
      <c r="I103" s="56"/>
      <c r="K103" s="127"/>
    </row>
    <row r="104" spans="1:11" ht="14.25">
      <c r="A104" s="325" t="s">
        <v>2</v>
      </c>
      <c r="B104" s="325"/>
      <c r="C104" s="148"/>
      <c r="D104" s="149"/>
      <c r="E104" s="56"/>
      <c r="F104" s="109">
        <v>-1254</v>
      </c>
      <c r="G104" s="56"/>
      <c r="H104" s="56"/>
      <c r="I104" s="56"/>
      <c r="K104" s="127"/>
    </row>
    <row r="105" spans="1:11" ht="14.25">
      <c r="A105" s="325" t="s">
        <v>3</v>
      </c>
      <c r="B105" s="325"/>
      <c r="C105" s="148"/>
      <c r="D105" s="149"/>
      <c r="E105" s="56"/>
      <c r="F105" s="109">
        <v>-1398</v>
      </c>
      <c r="G105" s="56"/>
      <c r="H105" s="56"/>
      <c r="I105" s="56"/>
      <c r="K105" s="127"/>
    </row>
    <row r="106" spans="1:11" ht="14.25">
      <c r="A106" s="325" t="s">
        <v>9</v>
      </c>
      <c r="B106" s="325"/>
      <c r="C106" s="148"/>
      <c r="D106" s="149"/>
      <c r="E106" s="56"/>
      <c r="F106" s="109">
        <v>-3102</v>
      </c>
      <c r="G106" s="56"/>
      <c r="H106" s="56"/>
      <c r="I106" s="56"/>
      <c r="K106" s="127"/>
    </row>
    <row r="107" spans="1:11" ht="14.25">
      <c r="A107" s="325" t="s">
        <v>4</v>
      </c>
      <c r="B107" s="325"/>
      <c r="C107" s="148"/>
      <c r="D107" s="149"/>
      <c r="E107" s="56"/>
      <c r="F107" s="109">
        <v>-1387</v>
      </c>
      <c r="G107" s="56"/>
      <c r="H107" s="56"/>
      <c r="I107" s="56"/>
      <c r="K107" s="127"/>
    </row>
    <row r="108" spans="1:11" ht="14.25">
      <c r="A108" s="325" t="s">
        <v>5</v>
      </c>
      <c r="B108" s="325"/>
      <c r="C108" s="148"/>
      <c r="D108" s="149"/>
      <c r="E108" s="56"/>
      <c r="F108" s="109">
        <v>-1597</v>
      </c>
      <c r="G108" s="56"/>
      <c r="H108" s="56"/>
      <c r="I108" s="56"/>
      <c r="K108" s="127"/>
    </row>
    <row r="109" spans="1:11" ht="14.25">
      <c r="A109" s="325" t="s">
        <v>6</v>
      </c>
      <c r="B109" s="325"/>
      <c r="C109" s="148"/>
      <c r="D109" s="149"/>
      <c r="E109" s="56"/>
      <c r="F109" s="109">
        <v>-1577</v>
      </c>
      <c r="G109" s="56"/>
      <c r="H109" s="56"/>
      <c r="I109" s="56"/>
      <c r="K109" s="127"/>
    </row>
    <row r="110" spans="1:11" ht="14.25">
      <c r="A110" s="325" t="s">
        <v>7</v>
      </c>
      <c r="B110" s="325"/>
      <c r="C110" s="148"/>
      <c r="D110" s="149"/>
      <c r="E110" s="56"/>
      <c r="F110" s="109">
        <v>-2187</v>
      </c>
      <c r="G110" s="56"/>
      <c r="H110" s="56"/>
      <c r="I110" s="56"/>
      <c r="K110" s="127"/>
    </row>
    <row r="111" spans="2:15" ht="14.25">
      <c r="B111" s="162" t="s">
        <v>8</v>
      </c>
      <c r="C111" s="162"/>
      <c r="D111" s="149"/>
      <c r="E111" s="149"/>
      <c r="F111" s="37">
        <f>SUM(F103:F110)</f>
        <v>-14475</v>
      </c>
      <c r="G111" s="157"/>
      <c r="H111" s="56"/>
      <c r="I111" s="157"/>
      <c r="K111" s="127"/>
      <c r="M111" s="103"/>
      <c r="N111" s="103"/>
      <c r="O111" s="103"/>
    </row>
    <row r="112" ht="12.75">
      <c r="K112" s="127"/>
    </row>
    <row r="113" spans="1:11" ht="18">
      <c r="A113" s="340" t="s">
        <v>226</v>
      </c>
      <c r="B113" s="340"/>
      <c r="C113" s="340"/>
      <c r="D113" s="340"/>
      <c r="E113" s="340"/>
      <c r="F113" s="340"/>
      <c r="G113" s="340"/>
      <c r="H113" s="340"/>
      <c r="I113" s="340"/>
      <c r="K113" s="127"/>
    </row>
    <row r="114" spans="1:11" ht="18.75" thickBot="1">
      <c r="A114" s="341" t="s">
        <v>75</v>
      </c>
      <c r="B114" s="341"/>
      <c r="C114" s="341"/>
      <c r="D114" s="341"/>
      <c r="E114" s="341"/>
      <c r="F114" s="341"/>
      <c r="G114" s="341"/>
      <c r="H114" s="341"/>
      <c r="I114" s="341"/>
      <c r="K114" s="127"/>
    </row>
    <row r="115" spans="1:11" ht="23.25" thickBot="1">
      <c r="A115" s="337" t="s">
        <v>61</v>
      </c>
      <c r="B115" s="338"/>
      <c r="C115" s="338"/>
      <c r="D115" s="338"/>
      <c r="E115" s="338"/>
      <c r="F115" s="338"/>
      <c r="G115" s="338"/>
      <c r="H115" s="338"/>
      <c r="I115" s="339"/>
      <c r="K115" s="127"/>
    </row>
    <row r="116" ht="12.75">
      <c r="K116" s="127"/>
    </row>
    <row r="117" spans="1:11" ht="15">
      <c r="A117" s="322" t="s">
        <v>258</v>
      </c>
      <c r="B117" s="323"/>
      <c r="C117" s="323"/>
      <c r="D117" s="324"/>
      <c r="E117" s="322" t="s">
        <v>17</v>
      </c>
      <c r="F117" s="323"/>
      <c r="G117" s="323"/>
      <c r="H117" s="323"/>
      <c r="I117" s="324"/>
      <c r="J117" s="165"/>
      <c r="K117" s="127"/>
    </row>
    <row r="118" spans="1:11" ht="15">
      <c r="A118" s="132"/>
      <c r="B118" s="26" t="s">
        <v>233</v>
      </c>
      <c r="C118" s="133"/>
      <c r="D118" s="27"/>
      <c r="E118" s="132"/>
      <c r="F118" s="132"/>
      <c r="G118" s="26" t="s">
        <v>227</v>
      </c>
      <c r="H118" s="133"/>
      <c r="I118" s="27"/>
      <c r="J118" s="2" t="s">
        <v>127</v>
      </c>
      <c r="K118" s="127"/>
    </row>
    <row r="119" spans="1:11" ht="28.5">
      <c r="A119" s="153" t="s">
        <v>124</v>
      </c>
      <c r="B119" s="81">
        <f>PM!B7</f>
        <v>15352</v>
      </c>
      <c r="C119" s="166"/>
      <c r="D119" s="166"/>
      <c r="E119" s="330" t="s">
        <v>43</v>
      </c>
      <c r="F119" s="330"/>
      <c r="G119" s="81">
        <f>PM!D19</f>
        <v>1735317.2699999998</v>
      </c>
      <c r="H119" s="56"/>
      <c r="I119" s="56"/>
      <c r="J119" s="56">
        <f>G119-H119</f>
        <v>1735317.2699999998</v>
      </c>
      <c r="K119" s="127"/>
    </row>
    <row r="120" spans="1:11" ht="14.25">
      <c r="A120" s="167" t="s">
        <v>105</v>
      </c>
      <c r="B120" s="81">
        <f>PM!B10</f>
        <v>4314.64</v>
      </c>
      <c r="C120" s="166"/>
      <c r="D120" s="166"/>
      <c r="E120" s="330" t="s">
        <v>44</v>
      </c>
      <c r="F120" s="330"/>
      <c r="G120" s="81">
        <f>PM!D28</f>
        <v>80735.69000000002</v>
      </c>
      <c r="H120" s="56"/>
      <c r="I120" s="56"/>
      <c r="J120" s="56">
        <f>G120-H120</f>
        <v>80735.69000000002</v>
      </c>
      <c r="K120" s="127"/>
    </row>
    <row r="121" spans="1:11" ht="42.75">
      <c r="A121" s="167" t="str">
        <f>PM!A8</f>
        <v>Spese postali Ancitel e diritti di notifica e gestione verbali</v>
      </c>
      <c r="B121" s="168">
        <f>PM!B8</f>
        <v>45000</v>
      </c>
      <c r="C121" s="169"/>
      <c r="D121" s="169"/>
      <c r="E121" s="330" t="s">
        <v>45</v>
      </c>
      <c r="F121" s="330"/>
      <c r="G121" s="81">
        <f>PM!D45</f>
        <v>173004.1</v>
      </c>
      <c r="H121" s="56"/>
      <c r="I121" s="56"/>
      <c r="J121" s="56">
        <f>G121-H121</f>
        <v>173004.1</v>
      </c>
      <c r="K121" s="127"/>
    </row>
    <row r="122" spans="1:11" ht="28.5">
      <c r="A122" s="167" t="s">
        <v>37</v>
      </c>
      <c r="B122" s="168">
        <f>PM!B9</f>
        <v>5000</v>
      </c>
      <c r="C122" s="169"/>
      <c r="D122" s="169"/>
      <c r="E122" s="330" t="s">
        <v>106</v>
      </c>
      <c r="F122" s="330"/>
      <c r="G122" s="81">
        <f>PM!D49</f>
        <v>65362.76</v>
      </c>
      <c r="H122" s="56"/>
      <c r="I122" s="56"/>
      <c r="J122" s="56">
        <f>G122-H122</f>
        <v>65362.76</v>
      </c>
      <c r="K122" s="127"/>
    </row>
    <row r="123" spans="1:11" ht="14.25">
      <c r="A123" s="153" t="s">
        <v>259</v>
      </c>
      <c r="B123" s="168">
        <f>PM!B12</f>
        <v>2016105</v>
      </c>
      <c r="C123" s="170"/>
      <c r="E123" s="330" t="s">
        <v>148</v>
      </c>
      <c r="F123" s="330"/>
      <c r="G123" s="81">
        <f>PM!D53</f>
        <v>5000</v>
      </c>
      <c r="H123" s="56"/>
      <c r="I123" s="56"/>
      <c r="J123" s="56"/>
      <c r="K123" s="127"/>
    </row>
    <row r="124" spans="1:11" ht="27.75" customHeight="1">
      <c r="A124" s="171" t="s">
        <v>8</v>
      </c>
      <c r="B124" s="138">
        <f>SUM(B119:B123)</f>
        <v>2085771.64</v>
      </c>
      <c r="C124" s="136"/>
      <c r="D124" s="136"/>
      <c r="E124" s="330" t="s">
        <v>144</v>
      </c>
      <c r="F124" s="330"/>
      <c r="G124" s="81">
        <f>PM!D55</f>
        <v>10630.91</v>
      </c>
      <c r="H124" s="56"/>
      <c r="I124" s="56"/>
      <c r="J124" s="56">
        <f>G124-H124</f>
        <v>10630.91</v>
      </c>
      <c r="K124" s="127"/>
    </row>
    <row r="125" spans="1:11" ht="14.25">
      <c r="A125" s="167"/>
      <c r="B125" s="172"/>
      <c r="C125" s="173"/>
      <c r="D125" s="173"/>
      <c r="E125" s="330" t="s">
        <v>201</v>
      </c>
      <c r="F125" s="330"/>
      <c r="G125" s="81">
        <f>PM!$D$51</f>
        <v>2436.93</v>
      </c>
      <c r="H125" s="56"/>
      <c r="I125" s="56"/>
      <c r="J125" s="56"/>
      <c r="K125" s="127"/>
    </row>
    <row r="126" spans="1:12" ht="14.25">
      <c r="A126" s="167"/>
      <c r="B126" s="172"/>
      <c r="C126" s="174"/>
      <c r="E126" s="171"/>
      <c r="F126" s="171" t="s">
        <v>8</v>
      </c>
      <c r="G126" s="138">
        <f>SUM(G119:G125)</f>
        <v>2072487.6599999997</v>
      </c>
      <c r="H126" s="157"/>
      <c r="I126" s="157"/>
      <c r="J126" s="56">
        <f>G126-H126</f>
        <v>2072487.6599999997</v>
      </c>
      <c r="K126" s="139">
        <f>G126-G119</f>
        <v>337170.3899999999</v>
      </c>
      <c r="L126" s="56">
        <f>I126-I119</f>
        <v>0</v>
      </c>
    </row>
    <row r="127" spans="6:11" ht="12.75">
      <c r="F127" s="6"/>
      <c r="G127" s="109"/>
      <c r="K127" s="127"/>
    </row>
    <row r="128" spans="4:15" ht="15">
      <c r="D128" s="90"/>
      <c r="E128" s="140"/>
      <c r="F128" s="159" t="s">
        <v>11</v>
      </c>
      <c r="G128" s="142">
        <f>B124-G126</f>
        <v>13283.980000000214</v>
      </c>
      <c r="H128" s="143">
        <f>C124-H126</f>
        <v>0</v>
      </c>
      <c r="I128" s="143">
        <f>D124-I126</f>
        <v>0</v>
      </c>
      <c r="J128" s="56">
        <f>(G128-H128)</f>
        <v>13283.980000000214</v>
      </c>
      <c r="K128" s="127"/>
      <c r="M128" s="103"/>
      <c r="N128" s="103"/>
      <c r="O128" s="103"/>
    </row>
    <row r="129" ht="12.75">
      <c r="K129" s="127"/>
    </row>
    <row r="130" spans="1:11" ht="15">
      <c r="A130" s="327" t="s">
        <v>291</v>
      </c>
      <c r="B130" s="328"/>
      <c r="C130" s="328"/>
      <c r="D130" s="328"/>
      <c r="E130" s="328"/>
      <c r="F130" s="328"/>
      <c r="G130" s="329"/>
      <c r="K130" s="127"/>
    </row>
    <row r="131" spans="1:15" ht="14.25">
      <c r="A131" s="326" t="s">
        <v>0</v>
      </c>
      <c r="B131" s="326"/>
      <c r="C131" s="144"/>
      <c r="D131" s="160"/>
      <c r="E131" s="26" t="s">
        <v>251</v>
      </c>
      <c r="F131" s="133"/>
      <c r="G131" s="147"/>
      <c r="H131" s="27"/>
      <c r="I131" s="27"/>
      <c r="K131" s="127"/>
      <c r="M131" s="175"/>
      <c r="N131" s="175"/>
      <c r="O131" s="175"/>
    </row>
    <row r="132" spans="1:12" ht="14.25">
      <c r="A132" s="325" t="s">
        <v>1</v>
      </c>
      <c r="B132" s="325"/>
      <c r="C132" s="148"/>
      <c r="D132" s="149"/>
      <c r="E132" s="81">
        <v>380659</v>
      </c>
      <c r="F132" s="150"/>
      <c r="G132" s="56"/>
      <c r="H132" s="56"/>
      <c r="I132" s="56"/>
      <c r="K132" s="127">
        <f>$K$126*D132/100</f>
        <v>0</v>
      </c>
      <c r="L132" s="2">
        <v>65090.414087885685</v>
      </c>
    </row>
    <row r="133" spans="1:12" ht="14.25">
      <c r="A133" s="325" t="s">
        <v>2</v>
      </c>
      <c r="B133" s="325"/>
      <c r="C133" s="148"/>
      <c r="D133" s="149"/>
      <c r="E133" s="81">
        <v>189381</v>
      </c>
      <c r="F133" s="150"/>
      <c r="G133" s="56"/>
      <c r="H133" s="56"/>
      <c r="I133" s="56"/>
      <c r="K133" s="127">
        <f aca="true" t="shared" si="5" ref="K133:K139">$K$126*D133/100</f>
        <v>0</v>
      </c>
      <c r="L133" s="2">
        <v>33051.71947272846</v>
      </c>
    </row>
    <row r="134" spans="1:12" ht="14.25">
      <c r="A134" s="325" t="s">
        <v>3</v>
      </c>
      <c r="B134" s="325"/>
      <c r="C134" s="148"/>
      <c r="D134" s="149"/>
      <c r="E134" s="81">
        <v>227604</v>
      </c>
      <c r="F134" s="150"/>
      <c r="G134" s="56"/>
      <c r="H134" s="56"/>
      <c r="I134" s="56"/>
      <c r="K134" s="127">
        <f t="shared" si="5"/>
        <v>0</v>
      </c>
      <c r="L134" s="2">
        <v>37103.818903013314</v>
      </c>
    </row>
    <row r="135" spans="1:12" ht="14.25">
      <c r="A135" s="325" t="s">
        <v>9</v>
      </c>
      <c r="B135" s="325"/>
      <c r="C135" s="148"/>
      <c r="D135" s="149"/>
      <c r="E135" s="81">
        <v>0</v>
      </c>
      <c r="F135" s="150"/>
      <c r="G135" s="56"/>
      <c r="H135" s="56"/>
      <c r="I135" s="56"/>
      <c r="K135" s="127">
        <f t="shared" si="5"/>
        <v>0</v>
      </c>
      <c r="L135" s="2">
        <v>0</v>
      </c>
    </row>
    <row r="136" spans="1:12" ht="14.25">
      <c r="A136" s="325" t="s">
        <v>4</v>
      </c>
      <c r="B136" s="325"/>
      <c r="C136" s="148"/>
      <c r="D136" s="149"/>
      <c r="E136" s="81">
        <v>224717</v>
      </c>
      <c r="F136" s="150"/>
      <c r="G136" s="56"/>
      <c r="H136" s="56"/>
      <c r="I136" s="56"/>
      <c r="K136" s="127">
        <f t="shared" si="5"/>
        <v>0</v>
      </c>
      <c r="L136" s="2">
        <v>37574.66144244782</v>
      </c>
    </row>
    <row r="137" spans="1:12" ht="14.25">
      <c r="A137" s="325" t="s">
        <v>5</v>
      </c>
      <c r="B137" s="325"/>
      <c r="C137" s="148"/>
      <c r="D137" s="149"/>
      <c r="E137" s="81">
        <v>280546</v>
      </c>
      <c r="F137" s="150"/>
      <c r="G137" s="56"/>
      <c r="H137" s="56"/>
      <c r="I137" s="56"/>
      <c r="K137" s="127">
        <f t="shared" si="5"/>
        <v>0</v>
      </c>
      <c r="L137" s="2">
        <v>47262.60339020634</v>
      </c>
    </row>
    <row r="138" spans="1:12" ht="14.25">
      <c r="A138" s="325" t="s">
        <v>6</v>
      </c>
      <c r="B138" s="325"/>
      <c r="C138" s="148"/>
      <c r="D138" s="149"/>
      <c r="E138" s="81">
        <v>275474</v>
      </c>
      <c r="F138" s="150"/>
      <c r="G138" s="56"/>
      <c r="H138" s="56"/>
      <c r="I138" s="56"/>
      <c r="K138" s="127">
        <f t="shared" si="5"/>
        <v>0</v>
      </c>
      <c r="L138" s="2">
        <v>44936.92660451468</v>
      </c>
    </row>
    <row r="139" spans="1:12" ht="14.25">
      <c r="A139" s="325" t="s">
        <v>7</v>
      </c>
      <c r="B139" s="325"/>
      <c r="C139" s="148"/>
      <c r="D139" s="149"/>
      <c r="E139" s="81">
        <v>437724</v>
      </c>
      <c r="F139" s="150"/>
      <c r="G139" s="56"/>
      <c r="H139" s="56"/>
      <c r="I139" s="56"/>
      <c r="K139" s="127">
        <f t="shared" si="5"/>
        <v>0</v>
      </c>
      <c r="L139" s="2">
        <v>72823.64609920398</v>
      </c>
    </row>
    <row r="140" spans="2:15" ht="14.25">
      <c r="B140" s="54" t="s">
        <v>8</v>
      </c>
      <c r="D140" s="149"/>
      <c r="E140" s="138">
        <f>SUM(E132:E139)</f>
        <v>2016105</v>
      </c>
      <c r="F140" s="136"/>
      <c r="G140" s="157"/>
      <c r="H140" s="136"/>
      <c r="I140" s="136"/>
      <c r="K140" s="127">
        <f>SUM(K132:K139)</f>
        <v>0</v>
      </c>
      <c r="L140" s="2">
        <f>SUM(L132:L139)</f>
        <v>337843.79000000027</v>
      </c>
      <c r="M140" s="103"/>
      <c r="N140" s="103"/>
      <c r="O140" s="103"/>
    </row>
    <row r="141" spans="1:11" ht="18">
      <c r="A141" s="340" t="s">
        <v>226</v>
      </c>
      <c r="B141" s="340"/>
      <c r="C141" s="340"/>
      <c r="D141" s="340"/>
      <c r="E141" s="340"/>
      <c r="F141" s="340"/>
      <c r="G141" s="340"/>
      <c r="H141" s="340"/>
      <c r="I141" s="340"/>
      <c r="K141" s="127"/>
    </row>
    <row r="142" spans="1:11" ht="18.75" thickBot="1">
      <c r="A142" s="341" t="s">
        <v>75</v>
      </c>
      <c r="B142" s="341"/>
      <c r="C142" s="341"/>
      <c r="D142" s="341"/>
      <c r="E142" s="341"/>
      <c r="F142" s="341"/>
      <c r="G142" s="341"/>
      <c r="H142" s="341"/>
      <c r="I142" s="341"/>
      <c r="K142" s="127"/>
    </row>
    <row r="143" spans="1:11" ht="23.25" thickBot="1">
      <c r="A143" s="337" t="s">
        <v>27</v>
      </c>
      <c r="B143" s="338"/>
      <c r="C143" s="338"/>
      <c r="D143" s="338"/>
      <c r="E143" s="338"/>
      <c r="F143" s="338"/>
      <c r="G143" s="338"/>
      <c r="H143" s="338"/>
      <c r="I143" s="339"/>
      <c r="K143" s="127"/>
    </row>
    <row r="144" ht="12.75">
      <c r="K144" s="127"/>
    </row>
    <row r="145" spans="1:11" ht="15">
      <c r="A145" s="322" t="s">
        <v>258</v>
      </c>
      <c r="B145" s="323"/>
      <c r="C145" s="323"/>
      <c r="D145" s="324"/>
      <c r="E145" s="322" t="s">
        <v>17</v>
      </c>
      <c r="F145" s="323"/>
      <c r="G145" s="323"/>
      <c r="H145" s="323"/>
      <c r="I145" s="324"/>
      <c r="K145" s="127"/>
    </row>
    <row r="146" spans="1:11" ht="15">
      <c r="A146" s="132"/>
      <c r="B146" s="26" t="s">
        <v>233</v>
      </c>
      <c r="C146" s="133"/>
      <c r="D146" s="27"/>
      <c r="E146" s="132"/>
      <c r="F146" s="132"/>
      <c r="G146" s="26" t="s">
        <v>227</v>
      </c>
      <c r="H146" s="133"/>
      <c r="I146" s="27"/>
      <c r="K146" s="127"/>
    </row>
    <row r="147" spans="1:11" ht="28.5">
      <c r="A147" s="153" t="s">
        <v>125</v>
      </c>
      <c r="B147" s="81">
        <f>personale!B7</f>
        <v>8744.82</v>
      </c>
      <c r="C147" s="150"/>
      <c r="D147" s="150"/>
      <c r="E147" s="332" t="s">
        <v>43</v>
      </c>
      <c r="F147" s="332"/>
      <c r="G147" s="81">
        <f>personale!E14</f>
        <v>173898.47</v>
      </c>
      <c r="H147" s="150"/>
      <c r="I147" s="150"/>
      <c r="J147" s="56">
        <f>G147-H147</f>
        <v>173898.47</v>
      </c>
      <c r="K147" s="127"/>
    </row>
    <row r="148" spans="1:11" ht="14.25">
      <c r="A148" s="153" t="s">
        <v>105</v>
      </c>
      <c r="B148" s="81">
        <f>personale!B8</f>
        <v>400</v>
      </c>
      <c r="E148" s="332" t="s">
        <v>44</v>
      </c>
      <c r="F148" s="332"/>
      <c r="G148" s="81">
        <f>personale!E17</f>
        <v>338.4</v>
      </c>
      <c r="H148" s="150"/>
      <c r="I148" s="150"/>
      <c r="J148" s="56">
        <f>G148-H148</f>
        <v>338.4</v>
      </c>
      <c r="K148" s="127"/>
    </row>
    <row r="149" spans="1:11" ht="14.25">
      <c r="A149" s="153" t="s">
        <v>259</v>
      </c>
      <c r="B149" s="155">
        <f>personale!B9</f>
        <v>188034</v>
      </c>
      <c r="C149" s="136"/>
      <c r="D149" s="136"/>
      <c r="E149" s="332" t="s">
        <v>45</v>
      </c>
      <c r="F149" s="332"/>
      <c r="G149" s="81">
        <f>personale!E26</f>
        <v>22058.829999999998</v>
      </c>
      <c r="H149" s="150"/>
      <c r="I149" s="150"/>
      <c r="J149" s="56">
        <f>G149-H149</f>
        <v>22058.829999999998</v>
      </c>
      <c r="K149" s="127"/>
    </row>
    <row r="150" spans="1:11" ht="14.25">
      <c r="A150" s="153" t="s">
        <v>260</v>
      </c>
      <c r="B150" s="155">
        <f>personale!B11</f>
        <v>36396</v>
      </c>
      <c r="C150" s="54"/>
      <c r="D150" s="54"/>
      <c r="E150" s="332" t="s">
        <v>46</v>
      </c>
      <c r="F150" s="332"/>
      <c r="G150" s="81">
        <f>personale!E30</f>
        <v>0</v>
      </c>
      <c r="H150" s="150"/>
      <c r="I150" s="150"/>
      <c r="K150" s="127"/>
    </row>
    <row r="151" spans="1:11" ht="29.25" customHeight="1">
      <c r="A151" s="171" t="s">
        <v>8</v>
      </c>
      <c r="B151" s="138">
        <f>SUM(B147:B150)</f>
        <v>233574.82</v>
      </c>
      <c r="C151" s="54"/>
      <c r="D151" s="54"/>
      <c r="E151" s="332" t="s">
        <v>261</v>
      </c>
      <c r="F151" s="332"/>
      <c r="G151" s="81">
        <f>personale!E33</f>
        <v>36393.6</v>
      </c>
      <c r="H151" s="150"/>
      <c r="I151" s="150"/>
      <c r="K151" s="127"/>
    </row>
    <row r="152" spans="1:12" ht="14.25">
      <c r="A152" s="54"/>
      <c r="B152" s="54"/>
      <c r="C152" s="54"/>
      <c r="D152" s="54"/>
      <c r="E152" s="54"/>
      <c r="F152" s="171" t="s">
        <v>8</v>
      </c>
      <c r="G152" s="138">
        <f>SUM(G147:G151)</f>
        <v>232689.3</v>
      </c>
      <c r="H152" s="136"/>
      <c r="I152" s="136"/>
      <c r="J152" s="56">
        <f>G152-H152</f>
        <v>232689.3</v>
      </c>
      <c r="K152" s="139">
        <f>G152-G147</f>
        <v>58790.82999999999</v>
      </c>
      <c r="L152" s="56">
        <f>I152-I147</f>
        <v>0</v>
      </c>
    </row>
    <row r="153" spans="6:11" ht="12.75">
      <c r="F153" s="6"/>
      <c r="G153" s="109"/>
      <c r="K153" s="127"/>
    </row>
    <row r="154" spans="6:15" ht="12.75">
      <c r="F154" s="6"/>
      <c r="G154" s="109"/>
      <c r="K154" s="127"/>
      <c r="M154" s="163"/>
      <c r="N154" s="163"/>
      <c r="O154" s="163"/>
    </row>
    <row r="155" spans="4:15" ht="15">
      <c r="D155" s="90"/>
      <c r="E155" s="140"/>
      <c r="F155" s="159" t="s">
        <v>11</v>
      </c>
      <c r="G155" s="142">
        <f>B151-G152</f>
        <v>885.5200000000186</v>
      </c>
      <c r="H155" s="143"/>
      <c r="I155" s="143"/>
      <c r="K155" s="127"/>
      <c r="M155" s="163"/>
      <c r="N155" s="163"/>
      <c r="O155" s="163"/>
    </row>
    <row r="156" spans="6:11" ht="12.75">
      <c r="F156" s="6"/>
      <c r="K156" s="127"/>
    </row>
    <row r="157" spans="1:11" ht="12" customHeight="1">
      <c r="A157" s="163"/>
      <c r="K157" s="127"/>
    </row>
    <row r="158" spans="7:15" ht="12.75">
      <c r="G158" s="56"/>
      <c r="K158" s="127"/>
      <c r="M158" s="128"/>
      <c r="N158" s="128"/>
      <c r="O158" s="128"/>
    </row>
    <row r="159" spans="1:11" ht="12.75">
      <c r="A159" s="163"/>
      <c r="K159" s="127"/>
    </row>
    <row r="160" spans="1:11" ht="15">
      <c r="A160" s="327" t="s">
        <v>292</v>
      </c>
      <c r="B160" s="328"/>
      <c r="C160" s="328"/>
      <c r="D160" s="328"/>
      <c r="E160" s="328"/>
      <c r="F160" s="328"/>
      <c r="G160" s="328"/>
      <c r="H160" s="328"/>
      <c r="I160" s="329"/>
      <c r="K160" s="127"/>
    </row>
    <row r="161" spans="1:15" ht="14.25">
      <c r="A161" s="336" t="s">
        <v>0</v>
      </c>
      <c r="B161" s="336"/>
      <c r="C161" s="144"/>
      <c r="D161" s="176"/>
      <c r="E161" s="26" t="s">
        <v>251</v>
      </c>
      <c r="F161" s="26" t="s">
        <v>262</v>
      </c>
      <c r="G161" s="177"/>
      <c r="H161" s="178"/>
      <c r="I161" s="26"/>
      <c r="K161" s="127"/>
      <c r="M161" s="175"/>
      <c r="N161" s="175"/>
      <c r="O161" s="175"/>
    </row>
    <row r="162" spans="1:12" ht="14.25">
      <c r="A162" s="325" t="s">
        <v>1</v>
      </c>
      <c r="B162" s="325"/>
      <c r="C162" s="148"/>
      <c r="D162" s="179"/>
      <c r="E162" s="81">
        <v>23226</v>
      </c>
      <c r="F162" s="81">
        <v>5640</v>
      </c>
      <c r="G162" s="150"/>
      <c r="H162" s="54"/>
      <c r="I162" s="150"/>
      <c r="K162" s="127">
        <f>$K$152*D162/100+H162</f>
        <v>0</v>
      </c>
      <c r="L162" s="2">
        <v>7202.943892733563</v>
      </c>
    </row>
    <row r="163" spans="1:12" ht="14.25">
      <c r="A163" s="325" t="s">
        <v>2</v>
      </c>
      <c r="B163" s="325"/>
      <c r="C163" s="148"/>
      <c r="D163" s="179"/>
      <c r="E163" s="81">
        <v>15908</v>
      </c>
      <c r="F163" s="81">
        <v>5640</v>
      </c>
      <c r="G163" s="150"/>
      <c r="H163" s="54"/>
      <c r="I163" s="150"/>
      <c r="K163" s="127">
        <f aca="true" t="shared" si="6" ref="K163:K169">$K$152*D163/100+H163</f>
        <v>0</v>
      </c>
      <c r="L163" s="2">
        <v>6689.099325259515</v>
      </c>
    </row>
    <row r="164" spans="1:12" ht="14.25">
      <c r="A164" s="325" t="s">
        <v>3</v>
      </c>
      <c r="B164" s="325"/>
      <c r="C164" s="148"/>
      <c r="D164" s="179"/>
      <c r="E164" s="81">
        <v>14635</v>
      </c>
      <c r="F164" s="81">
        <v>0</v>
      </c>
      <c r="G164" s="150"/>
      <c r="H164" s="54"/>
      <c r="I164" s="150"/>
      <c r="K164" s="127">
        <f t="shared" si="6"/>
        <v>0</v>
      </c>
      <c r="L164" s="2">
        <v>1070.509515570934</v>
      </c>
    </row>
    <row r="165" spans="1:12" ht="14.25">
      <c r="A165" s="325" t="s">
        <v>9</v>
      </c>
      <c r="B165" s="325"/>
      <c r="C165" s="148"/>
      <c r="D165" s="179"/>
      <c r="E165" s="81">
        <v>37543</v>
      </c>
      <c r="F165" s="81">
        <v>5640</v>
      </c>
      <c r="G165" s="150"/>
      <c r="H165" s="54"/>
      <c r="I165" s="150"/>
      <c r="K165" s="127">
        <f t="shared" si="6"/>
        <v>0</v>
      </c>
      <c r="L165" s="2">
        <v>8359.094169550172</v>
      </c>
    </row>
    <row r="166" spans="1:12" ht="14.25">
      <c r="A166" s="325" t="s">
        <v>4</v>
      </c>
      <c r="B166" s="325"/>
      <c r="C166" s="148"/>
      <c r="D166" s="179"/>
      <c r="E166" s="81">
        <v>14954</v>
      </c>
      <c r="F166" s="81">
        <v>4869</v>
      </c>
      <c r="G166" s="150"/>
      <c r="H166" s="180"/>
      <c r="I166" s="150"/>
      <c r="K166" s="127">
        <f t="shared" si="6"/>
        <v>0</v>
      </c>
      <c r="L166" s="2">
        <v>5853.4401828966875</v>
      </c>
    </row>
    <row r="167" spans="1:12" ht="14.25">
      <c r="A167" s="325" t="s">
        <v>5</v>
      </c>
      <c r="B167" s="325"/>
      <c r="C167" s="148"/>
      <c r="D167" s="179"/>
      <c r="E167" s="81">
        <v>21635</v>
      </c>
      <c r="F167" s="81">
        <v>4869</v>
      </c>
      <c r="G167" s="150"/>
      <c r="H167" s="180"/>
      <c r="I167" s="150"/>
      <c r="K167" s="127">
        <f t="shared" si="6"/>
        <v>0</v>
      </c>
      <c r="L167" s="2">
        <v>6110.362466633712</v>
      </c>
    </row>
    <row r="168" spans="1:12" ht="14.25">
      <c r="A168" s="325" t="s">
        <v>6</v>
      </c>
      <c r="B168" s="325"/>
      <c r="C168" s="148"/>
      <c r="D168" s="179"/>
      <c r="E168" s="81">
        <v>21317</v>
      </c>
      <c r="F168" s="81">
        <v>4869</v>
      </c>
      <c r="G168" s="150"/>
      <c r="H168" s="54"/>
      <c r="I168" s="150"/>
      <c r="K168" s="127">
        <f t="shared" si="6"/>
        <v>0</v>
      </c>
      <c r="L168" s="2">
        <v>6281.643989125061</v>
      </c>
    </row>
    <row r="169" spans="1:12" ht="14.25">
      <c r="A169" s="325" t="s">
        <v>7</v>
      </c>
      <c r="B169" s="325"/>
      <c r="C169" s="148"/>
      <c r="D169" s="179"/>
      <c r="E169" s="81">
        <v>38816</v>
      </c>
      <c r="F169" s="81">
        <v>4869</v>
      </c>
      <c r="G169" s="150"/>
      <c r="H169" s="180"/>
      <c r="I169" s="150"/>
      <c r="K169" s="127">
        <f t="shared" si="6"/>
        <v>0</v>
      </c>
      <c r="L169" s="2">
        <v>7202.282172516065</v>
      </c>
    </row>
    <row r="170" spans="1:15" ht="14.25">
      <c r="A170" s="54"/>
      <c r="B170" s="54" t="s">
        <v>8</v>
      </c>
      <c r="C170" s="54"/>
      <c r="D170" s="179"/>
      <c r="E170" s="138">
        <f>SUM(E162:E169)</f>
        <v>188034</v>
      </c>
      <c r="F170" s="138">
        <f>SUM(F162:F169)</f>
        <v>36396</v>
      </c>
      <c r="G170" s="136"/>
      <c r="H170" s="136"/>
      <c r="I170" s="136"/>
      <c r="K170" s="127">
        <f>SUM(K162:K169)</f>
        <v>0</v>
      </c>
      <c r="L170" s="56"/>
      <c r="M170" s="128"/>
      <c r="N170" s="128"/>
      <c r="O170" s="128"/>
    </row>
    <row r="173" spans="5:6" ht="12.75">
      <c r="E173" s="181"/>
      <c r="F173" s="181"/>
    </row>
    <row r="174" spans="1:5" ht="15">
      <c r="A174" s="182"/>
      <c r="B174" s="332"/>
      <c r="C174" s="332"/>
      <c r="E174" s="157"/>
    </row>
    <row r="175" spans="2:5" ht="14.25">
      <c r="B175" s="332"/>
      <c r="C175" s="332"/>
      <c r="E175" s="157"/>
    </row>
    <row r="176" spans="2:5" ht="14.25">
      <c r="B176" s="332"/>
      <c r="C176" s="332"/>
      <c r="E176" s="157"/>
    </row>
    <row r="177" spans="2:5" ht="14.25">
      <c r="B177" s="332"/>
      <c r="C177" s="332"/>
      <c r="E177" s="157"/>
    </row>
    <row r="178" spans="2:5" ht="14.25">
      <c r="B178" s="332"/>
      <c r="C178" s="332"/>
      <c r="E178" s="157"/>
    </row>
    <row r="179" spans="2:5" ht="14.25">
      <c r="B179" s="332"/>
      <c r="C179" s="332"/>
      <c r="E179" s="157"/>
    </row>
    <row r="180" spans="2:5" ht="14.25">
      <c r="B180" s="332"/>
      <c r="C180" s="332"/>
      <c r="E180" s="157"/>
    </row>
    <row r="181" spans="2:5" ht="14.25">
      <c r="B181" s="332"/>
      <c r="C181" s="332"/>
      <c r="E181" s="157"/>
    </row>
    <row r="182" spans="2:6" ht="21.75" customHeight="1">
      <c r="B182" s="331"/>
      <c r="C182" s="331"/>
      <c r="E182" s="56"/>
      <c r="F182" s="56"/>
    </row>
  </sheetData>
  <mergeCells count="124">
    <mergeCell ref="E145:I145"/>
    <mergeCell ref="E34:I34"/>
    <mergeCell ref="A46:I46"/>
    <mergeCell ref="A59:I59"/>
    <mergeCell ref="A113:I113"/>
    <mergeCell ref="A114:I114"/>
    <mergeCell ref="A141:I141"/>
    <mergeCell ref="A142:I142"/>
    <mergeCell ref="A57:I57"/>
    <mergeCell ref="A58:I58"/>
    <mergeCell ref="A1:I1"/>
    <mergeCell ref="A2:I2"/>
    <mergeCell ref="A3:I3"/>
    <mergeCell ref="A32:I32"/>
    <mergeCell ref="A30:I30"/>
    <mergeCell ref="A31:I31"/>
    <mergeCell ref="E5:I5"/>
    <mergeCell ref="A19:I19"/>
    <mergeCell ref="A22:B22"/>
    <mergeCell ref="A23:B23"/>
    <mergeCell ref="E90:I90"/>
    <mergeCell ref="A105:B105"/>
    <mergeCell ref="A102:B102"/>
    <mergeCell ref="A103:B103"/>
    <mergeCell ref="A104:B104"/>
    <mergeCell ref="E92:F92"/>
    <mergeCell ref="A101:I101"/>
    <mergeCell ref="E61:I61"/>
    <mergeCell ref="A77:B77"/>
    <mergeCell ref="A79:B79"/>
    <mergeCell ref="A80:B80"/>
    <mergeCell ref="E64:F64"/>
    <mergeCell ref="A78:B78"/>
    <mergeCell ref="E65:F65"/>
    <mergeCell ref="A74:I74"/>
    <mergeCell ref="E63:F63"/>
    <mergeCell ref="E148:F148"/>
    <mergeCell ref="E149:F149"/>
    <mergeCell ref="A86:I86"/>
    <mergeCell ref="A87:I87"/>
    <mergeCell ref="A132:B132"/>
    <mergeCell ref="A133:B133"/>
    <mergeCell ref="A134:B134"/>
    <mergeCell ref="A135:B135"/>
    <mergeCell ref="E119:F119"/>
    <mergeCell ref="A117:D117"/>
    <mergeCell ref="A81:B81"/>
    <mergeCell ref="A82:B82"/>
    <mergeCell ref="E117:I117"/>
    <mergeCell ref="A88:I88"/>
    <mergeCell ref="A106:B106"/>
    <mergeCell ref="A107:B107"/>
    <mergeCell ref="A108:B108"/>
    <mergeCell ref="A109:B109"/>
    <mergeCell ref="A110:B110"/>
    <mergeCell ref="A115:I115"/>
    <mergeCell ref="A161:B161"/>
    <mergeCell ref="A136:B136"/>
    <mergeCell ref="A137:B137"/>
    <mergeCell ref="A138:B138"/>
    <mergeCell ref="A139:B139"/>
    <mergeCell ref="A143:I143"/>
    <mergeCell ref="E151:F151"/>
    <mergeCell ref="E147:F147"/>
    <mergeCell ref="E150:F150"/>
    <mergeCell ref="A160:I160"/>
    <mergeCell ref="A169:B169"/>
    <mergeCell ref="A162:B162"/>
    <mergeCell ref="A163:B163"/>
    <mergeCell ref="A164:B164"/>
    <mergeCell ref="A165:B165"/>
    <mergeCell ref="A166:B166"/>
    <mergeCell ref="A167:B167"/>
    <mergeCell ref="A168:B168"/>
    <mergeCell ref="A54:B54"/>
    <mergeCell ref="A28:B28"/>
    <mergeCell ref="A24:B24"/>
    <mergeCell ref="A25:B25"/>
    <mergeCell ref="A27:B27"/>
    <mergeCell ref="A49:B49"/>
    <mergeCell ref="A50:B50"/>
    <mergeCell ref="A83:B83"/>
    <mergeCell ref="E36:F36"/>
    <mergeCell ref="E37:F37"/>
    <mergeCell ref="A47:B47"/>
    <mergeCell ref="A48:B48"/>
    <mergeCell ref="A75:B75"/>
    <mergeCell ref="A76:B76"/>
    <mergeCell ref="E39:F39"/>
    <mergeCell ref="A51:B51"/>
    <mergeCell ref="A52:B52"/>
    <mergeCell ref="E7:F7"/>
    <mergeCell ref="A20:B20"/>
    <mergeCell ref="E38:F38"/>
    <mergeCell ref="E10:F10"/>
    <mergeCell ref="E8:F8"/>
    <mergeCell ref="E9:F9"/>
    <mergeCell ref="E11:F11"/>
    <mergeCell ref="A26:B26"/>
    <mergeCell ref="A21:B21"/>
    <mergeCell ref="E124:F124"/>
    <mergeCell ref="E123:F123"/>
    <mergeCell ref="E120:F120"/>
    <mergeCell ref="E125:F125"/>
    <mergeCell ref="E121:F121"/>
    <mergeCell ref="B174:C174"/>
    <mergeCell ref="B175:C175"/>
    <mergeCell ref="B176:C176"/>
    <mergeCell ref="B177:C177"/>
    <mergeCell ref="B182:C182"/>
    <mergeCell ref="B178:C178"/>
    <mergeCell ref="B179:C179"/>
    <mergeCell ref="B180:C180"/>
    <mergeCell ref="B181:C181"/>
    <mergeCell ref="A145:D145"/>
    <mergeCell ref="A5:D5"/>
    <mergeCell ref="A34:D34"/>
    <mergeCell ref="A61:D61"/>
    <mergeCell ref="A90:D90"/>
    <mergeCell ref="A53:B53"/>
    <mergeCell ref="A55:B55"/>
    <mergeCell ref="A131:B131"/>
    <mergeCell ref="A130:G130"/>
    <mergeCell ref="E122:F122"/>
  </mergeCells>
  <printOptions gridLines="1"/>
  <pageMargins left="0.75" right="0.75" top="1" bottom="1" header="0.5" footer="0.5"/>
  <pageSetup horizontalDpi="600" verticalDpi="600" orientation="landscape" paperSize="9" scale="78" r:id="rId3"/>
  <headerFooter alignWithMargins="0">
    <oddFooter>&amp;L&amp;"Arial,Grassetto"Bilancio di previsione 2006&amp;C &amp;R Pagina &amp;P</oddFooter>
  </headerFooter>
  <rowBreaks count="5" manualBreakCount="5">
    <brk id="29" max="9" man="1"/>
    <brk id="56" max="255" man="1"/>
    <brk id="85" max="255" man="1"/>
    <brk id="112" max="255" man="1"/>
    <brk id="140" max="9" man="1"/>
  </rowBreaks>
  <colBreaks count="1" manualBreakCount="1">
    <brk id="9" max="168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0"/>
  <sheetViews>
    <sheetView view="pageBreakPreview" zoomScale="75" zoomScaleNormal="75" zoomScaleSheetLayoutView="75" workbookViewId="0" topLeftCell="A64">
      <selection activeCell="E153" sqref="E153"/>
    </sheetView>
  </sheetViews>
  <sheetFormatPr defaultColWidth="9.140625" defaultRowHeight="12.75"/>
  <cols>
    <col min="1" max="1" width="35.140625" style="2" bestFit="1" customWidth="1"/>
    <col min="2" max="2" width="14.00390625" style="2" customWidth="1"/>
    <col min="3" max="3" width="13.57421875" style="2" customWidth="1"/>
    <col min="4" max="4" width="13.8515625" style="2" customWidth="1"/>
    <col min="5" max="5" width="19.421875" style="2" customWidth="1"/>
    <col min="6" max="6" width="17.28125" style="2" customWidth="1"/>
    <col min="7" max="7" width="17.421875" style="2" customWidth="1"/>
    <col min="8" max="8" width="14.421875" style="2" customWidth="1"/>
    <col min="9" max="10" width="0" style="2" hidden="1" customWidth="1"/>
    <col min="11" max="11" width="10.8515625" style="2" hidden="1" customWidth="1"/>
    <col min="12" max="12" width="15.00390625" style="2" bestFit="1" customWidth="1"/>
    <col min="13" max="14" width="0" style="2" hidden="1" customWidth="1"/>
    <col min="15" max="16384" width="9.140625" style="2" customWidth="1"/>
  </cols>
  <sheetData>
    <row r="1" spans="1:8" ht="20.25" customHeight="1">
      <c r="A1" s="340" t="s">
        <v>226</v>
      </c>
      <c r="B1" s="340"/>
      <c r="C1" s="340"/>
      <c r="D1" s="340"/>
      <c r="E1" s="340"/>
      <c r="F1" s="340"/>
      <c r="G1" s="340"/>
      <c r="H1" s="340"/>
    </row>
    <row r="2" spans="1:8" ht="28.5" customHeight="1" thickBot="1">
      <c r="A2" s="348" t="s">
        <v>63</v>
      </c>
      <c r="B2" s="348"/>
      <c r="C2" s="348"/>
      <c r="D2" s="348"/>
      <c r="E2" s="348"/>
      <c r="F2" s="348"/>
      <c r="G2" s="348"/>
      <c r="H2" s="348"/>
    </row>
    <row r="3" spans="1:12" ht="26.25" customHeight="1" thickBot="1">
      <c r="A3" s="337" t="s">
        <v>47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9"/>
    </row>
    <row r="5" spans="1:12" ht="15">
      <c r="A5" s="322" t="s">
        <v>21</v>
      </c>
      <c r="B5" s="323"/>
      <c r="C5" s="324"/>
      <c r="E5" s="322" t="s">
        <v>16</v>
      </c>
      <c r="F5" s="323"/>
      <c r="G5" s="323"/>
      <c r="H5" s="323"/>
      <c r="I5" s="323"/>
      <c r="J5" s="323"/>
      <c r="K5" s="323"/>
      <c r="L5" s="324"/>
    </row>
    <row r="6" spans="1:13" ht="28.5" customHeight="1">
      <c r="A6" s="132"/>
      <c r="B6" s="26" t="s">
        <v>233</v>
      </c>
      <c r="C6" s="133"/>
      <c r="D6" s="165"/>
      <c r="E6" s="132"/>
      <c r="F6" s="132"/>
      <c r="G6" s="26" t="s">
        <v>227</v>
      </c>
      <c r="H6" s="133"/>
      <c r="I6" s="26"/>
      <c r="L6" s="27"/>
      <c r="M6" s="2" t="s">
        <v>159</v>
      </c>
    </row>
    <row r="7" spans="1:14" ht="14.25">
      <c r="A7" s="187" t="s">
        <v>248</v>
      </c>
      <c r="B7" s="81">
        <v>5000</v>
      </c>
      <c r="C7" s="150"/>
      <c r="D7" s="150"/>
      <c r="E7" s="330"/>
      <c r="F7" s="330"/>
      <c r="G7" s="150"/>
      <c r="K7" s="128"/>
      <c r="M7" s="2">
        <v>2004</v>
      </c>
      <c r="N7" s="2">
        <v>2006</v>
      </c>
    </row>
    <row r="8" spans="1:12" ht="15" customHeight="1">
      <c r="A8" s="171" t="s">
        <v>8</v>
      </c>
      <c r="B8" s="138">
        <f>SUM(B7:B7)</f>
        <v>5000</v>
      </c>
      <c r="C8" s="136"/>
      <c r="D8" s="136"/>
      <c r="E8" s="330" t="s">
        <v>249</v>
      </c>
      <c r="F8" s="330" t="s">
        <v>52</v>
      </c>
      <c r="G8" s="81">
        <f>664.06+648</f>
        <v>1312.06</v>
      </c>
      <c r="H8" s="150"/>
      <c r="K8" s="128"/>
      <c r="L8" s="150"/>
    </row>
    <row r="9" spans="1:12" ht="15" customHeight="1">
      <c r="A9" s="171"/>
      <c r="B9" s="136"/>
      <c r="C9" s="136"/>
      <c r="D9" s="136"/>
      <c r="E9" s="330" t="s">
        <v>250</v>
      </c>
      <c r="F9" s="330"/>
      <c r="G9" s="81">
        <f>3288+342</f>
        <v>3630</v>
      </c>
      <c r="H9" s="150"/>
      <c r="I9" s="150"/>
      <c r="K9" s="128"/>
      <c r="L9" s="150"/>
    </row>
    <row r="10" spans="1:12" ht="15" customHeight="1">
      <c r="A10" s="171"/>
      <c r="B10" s="136"/>
      <c r="C10" s="136"/>
      <c r="D10" s="136"/>
      <c r="E10" s="330"/>
      <c r="F10" s="330"/>
      <c r="G10" s="81">
        <v>0</v>
      </c>
      <c r="H10" s="150"/>
      <c r="I10" s="150"/>
      <c r="K10" s="128"/>
      <c r="L10" s="150"/>
    </row>
    <row r="11" spans="1:12" ht="29.25" customHeight="1">
      <c r="A11" s="171"/>
      <c r="B11" s="136"/>
      <c r="C11" s="136"/>
      <c r="D11" s="136"/>
      <c r="E11" s="330"/>
      <c r="F11" s="330"/>
      <c r="G11" s="81">
        <v>0</v>
      </c>
      <c r="H11" s="150"/>
      <c r="I11" s="150"/>
      <c r="K11" s="128"/>
      <c r="L11" s="150"/>
    </row>
    <row r="12" spans="1:12" ht="14.25">
      <c r="A12" s="54"/>
      <c r="B12" s="154"/>
      <c r="C12" s="154"/>
      <c r="D12" s="154"/>
      <c r="E12" s="113"/>
      <c r="F12" s="6" t="s">
        <v>8</v>
      </c>
      <c r="G12" s="138">
        <f>SUM(G8:G11)</f>
        <v>4942.0599999999995</v>
      </c>
      <c r="H12" s="136"/>
      <c r="I12" s="136"/>
      <c r="J12" s="136"/>
      <c r="K12" s="136"/>
      <c r="L12" s="136"/>
    </row>
    <row r="13" ht="12.75">
      <c r="K13" s="128"/>
    </row>
    <row r="14" ht="12.75">
      <c r="K14" s="128"/>
    </row>
    <row r="15" spans="4:11" ht="15">
      <c r="D15" s="140"/>
      <c r="E15" s="188"/>
      <c r="F15" s="159" t="s">
        <v>11</v>
      </c>
      <c r="G15" s="142">
        <f>B8-G12</f>
        <v>57.94000000000051</v>
      </c>
      <c r="H15" s="143">
        <f>C8-H12</f>
        <v>0</v>
      </c>
      <c r="K15" s="128"/>
    </row>
    <row r="16" spans="7:11" ht="12.75">
      <c r="G16" s="56"/>
      <c r="K16" s="128"/>
    </row>
    <row r="17" ht="12.75">
      <c r="K17" s="128"/>
    </row>
    <row r="18" spans="1:8" ht="15">
      <c r="A18" s="327" t="s">
        <v>288</v>
      </c>
      <c r="B18" s="328"/>
      <c r="C18" s="328"/>
      <c r="D18" s="328"/>
      <c r="E18" s="328"/>
      <c r="F18" s="328"/>
      <c r="G18" s="328"/>
      <c r="H18" s="329"/>
    </row>
    <row r="19" spans="1:7" ht="30" customHeight="1">
      <c r="A19" s="336" t="s">
        <v>0</v>
      </c>
      <c r="B19" s="336"/>
      <c r="C19" s="144"/>
      <c r="D19" s="145"/>
      <c r="E19" s="26" t="s">
        <v>251</v>
      </c>
      <c r="F19" s="133"/>
      <c r="G19" s="27"/>
    </row>
    <row r="20" spans="1:14" ht="14.25">
      <c r="A20" s="325" t="s">
        <v>1</v>
      </c>
      <c r="B20" s="325"/>
      <c r="C20" s="148"/>
      <c r="D20" s="149"/>
      <c r="E20" s="81">
        <v>705</v>
      </c>
      <c r="F20" s="150"/>
      <c r="G20" s="150"/>
      <c r="M20" s="2">
        <f aca="true" t="shared" si="0" ref="M20:M27">G20</f>
        <v>0</v>
      </c>
      <c r="N20" s="56">
        <f>E20</f>
        <v>705</v>
      </c>
    </row>
    <row r="21" spans="1:14" ht="14.25">
      <c r="A21" s="325" t="s">
        <v>2</v>
      </c>
      <c r="B21" s="325"/>
      <c r="C21" s="148"/>
      <c r="D21" s="149"/>
      <c r="E21" s="81">
        <v>351</v>
      </c>
      <c r="F21" s="150"/>
      <c r="G21" s="150"/>
      <c r="M21" s="2">
        <f t="shared" si="0"/>
        <v>0</v>
      </c>
      <c r="N21" s="56">
        <f aca="true" t="shared" si="1" ref="N21:N27">E21</f>
        <v>351</v>
      </c>
    </row>
    <row r="22" spans="1:14" ht="14.25">
      <c r="A22" s="325" t="s">
        <v>3</v>
      </c>
      <c r="B22" s="325"/>
      <c r="C22" s="148"/>
      <c r="D22" s="149"/>
      <c r="E22" s="81">
        <v>422</v>
      </c>
      <c r="F22" s="150"/>
      <c r="G22" s="150"/>
      <c r="M22" s="2">
        <f t="shared" si="0"/>
        <v>0</v>
      </c>
      <c r="N22" s="56">
        <f t="shared" si="1"/>
        <v>422</v>
      </c>
    </row>
    <row r="23" spans="1:14" ht="14.25">
      <c r="A23" s="325" t="s">
        <v>9</v>
      </c>
      <c r="B23" s="325"/>
      <c r="C23" s="148"/>
      <c r="D23" s="149"/>
      <c r="E23" s="81">
        <v>1263</v>
      </c>
      <c r="F23" s="150"/>
      <c r="G23" s="150"/>
      <c r="M23" s="2">
        <f t="shared" si="0"/>
        <v>0</v>
      </c>
      <c r="N23" s="56">
        <f t="shared" si="1"/>
        <v>1263</v>
      </c>
    </row>
    <row r="24" spans="1:14" ht="14.25">
      <c r="A24" s="325" t="s">
        <v>4</v>
      </c>
      <c r="B24" s="325"/>
      <c r="C24" s="148"/>
      <c r="D24" s="149"/>
      <c r="E24" s="81">
        <v>417</v>
      </c>
      <c r="F24" s="150"/>
      <c r="G24" s="150"/>
      <c r="M24" s="2">
        <f t="shared" si="0"/>
        <v>0</v>
      </c>
      <c r="N24" s="56">
        <f t="shared" si="1"/>
        <v>417</v>
      </c>
    </row>
    <row r="25" spans="1:14" ht="14.25">
      <c r="A25" s="325" t="s">
        <v>5</v>
      </c>
      <c r="B25" s="325"/>
      <c r="C25" s="148"/>
      <c r="D25" s="149"/>
      <c r="E25" s="81">
        <v>520</v>
      </c>
      <c r="F25" s="150"/>
      <c r="G25" s="150"/>
      <c r="M25" s="2">
        <f t="shared" si="0"/>
        <v>0</v>
      </c>
      <c r="N25" s="56">
        <f t="shared" si="1"/>
        <v>520</v>
      </c>
    </row>
    <row r="26" spans="1:14" ht="14.25">
      <c r="A26" s="325" t="s">
        <v>6</v>
      </c>
      <c r="B26" s="325"/>
      <c r="C26" s="148"/>
      <c r="D26" s="149"/>
      <c r="E26" s="81">
        <v>511</v>
      </c>
      <c r="F26" s="150"/>
      <c r="G26" s="150"/>
      <c r="M26" s="2">
        <f t="shared" si="0"/>
        <v>0</v>
      </c>
      <c r="N26" s="56">
        <f t="shared" si="1"/>
        <v>511</v>
      </c>
    </row>
    <row r="27" spans="1:14" ht="14.25">
      <c r="A27" s="325" t="s">
        <v>7</v>
      </c>
      <c r="B27" s="325"/>
      <c r="C27" s="148"/>
      <c r="D27" s="149"/>
      <c r="E27" s="81">
        <v>811</v>
      </c>
      <c r="F27" s="150"/>
      <c r="G27" s="150"/>
      <c r="M27" s="2">
        <f t="shared" si="0"/>
        <v>0</v>
      </c>
      <c r="N27" s="56">
        <f t="shared" si="1"/>
        <v>811</v>
      </c>
    </row>
    <row r="28" spans="2:14" ht="17.25" customHeight="1">
      <c r="B28" s="151" t="s">
        <v>8</v>
      </c>
      <c r="C28" s="151"/>
      <c r="D28" s="149"/>
      <c r="E28" s="138">
        <f>SUM(E20:E27)</f>
        <v>5000</v>
      </c>
      <c r="F28" s="136"/>
      <c r="G28" s="136"/>
      <c r="K28" s="103"/>
      <c r="M28" s="2">
        <f>SUM(M20:M27)</f>
        <v>0</v>
      </c>
      <c r="N28" s="56">
        <f>SUM(N20:N27)</f>
        <v>5000</v>
      </c>
    </row>
    <row r="29" spans="1:8" ht="18">
      <c r="A29" s="340" t="s">
        <v>226</v>
      </c>
      <c r="B29" s="340"/>
      <c r="C29" s="340"/>
      <c r="D29" s="340"/>
      <c r="E29" s="340"/>
      <c r="F29" s="340"/>
      <c r="G29" s="340"/>
      <c r="H29" s="340"/>
    </row>
    <row r="30" spans="1:8" ht="28.5" customHeight="1">
      <c r="A30" s="348" t="s">
        <v>63</v>
      </c>
      <c r="B30" s="348"/>
      <c r="C30" s="348"/>
      <c r="D30" s="348"/>
      <c r="E30" s="348"/>
      <c r="F30" s="348"/>
      <c r="G30" s="348"/>
      <c r="H30" s="348"/>
    </row>
    <row r="31" spans="1:12" ht="22.5">
      <c r="A31" s="345" t="s">
        <v>58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</row>
    <row r="33" spans="1:12" ht="15">
      <c r="A33" s="322" t="s">
        <v>21</v>
      </c>
      <c r="B33" s="323"/>
      <c r="C33" s="324"/>
      <c r="E33" s="322" t="s">
        <v>17</v>
      </c>
      <c r="F33" s="323"/>
      <c r="G33" s="323"/>
      <c r="H33" s="323"/>
      <c r="I33" s="323"/>
      <c r="J33" s="323"/>
      <c r="K33" s="323"/>
      <c r="L33" s="324"/>
    </row>
    <row r="34" spans="1:12" ht="28.5" customHeight="1">
      <c r="A34" s="132"/>
      <c r="B34" s="26" t="s">
        <v>233</v>
      </c>
      <c r="C34" s="133"/>
      <c r="D34" s="165"/>
      <c r="E34" s="132"/>
      <c r="F34" s="132"/>
      <c r="G34" s="26" t="s">
        <v>227</v>
      </c>
      <c r="H34" s="133"/>
      <c r="I34" s="26"/>
      <c r="L34" s="27"/>
    </row>
    <row r="35" spans="1:12" ht="27.75" customHeight="1">
      <c r="A35" s="153" t="s">
        <v>223</v>
      </c>
      <c r="B35" s="81">
        <v>12750</v>
      </c>
      <c r="C35" s="150"/>
      <c r="E35" s="130" t="s">
        <v>41</v>
      </c>
      <c r="F35" s="130"/>
      <c r="G35" s="166">
        <v>0</v>
      </c>
      <c r="H35" s="166"/>
      <c r="L35" s="166"/>
    </row>
    <row r="36" spans="1:12" ht="27.75" customHeight="1">
      <c r="A36" s="187" t="s">
        <v>248</v>
      </c>
      <c r="B36" s="81">
        <v>31500</v>
      </c>
      <c r="C36" s="150"/>
      <c r="E36" s="130" t="s">
        <v>163</v>
      </c>
      <c r="F36" s="130"/>
      <c r="G36" s="166">
        <v>0</v>
      </c>
      <c r="H36" s="166"/>
      <c r="L36" s="166"/>
    </row>
    <row r="37" spans="1:12" ht="28.5" customHeight="1">
      <c r="A37" s="137" t="s">
        <v>8</v>
      </c>
      <c r="B37" s="138">
        <f>SUM(B35:B36)</f>
        <v>44250</v>
      </c>
      <c r="C37" s="136"/>
      <c r="E37" s="130" t="s">
        <v>42</v>
      </c>
      <c r="F37" s="130"/>
      <c r="G37" s="81">
        <v>44248.59</v>
      </c>
      <c r="H37" s="166"/>
      <c r="L37" s="166"/>
    </row>
    <row r="38" spans="5:14" ht="28.5" customHeight="1">
      <c r="E38" s="163"/>
      <c r="F38" s="6" t="s">
        <v>8</v>
      </c>
      <c r="G38" s="138">
        <f>SUM(G35:G37)</f>
        <v>44248.59</v>
      </c>
      <c r="H38" s="174"/>
      <c r="I38" s="174"/>
      <c r="J38" s="174"/>
      <c r="K38" s="174"/>
      <c r="L38" s="174"/>
      <c r="N38" s="2" t="s">
        <v>159</v>
      </c>
    </row>
    <row r="39" ht="12.75">
      <c r="G39" s="109"/>
    </row>
    <row r="40" spans="5:7" ht="12.75">
      <c r="E40" s="163"/>
      <c r="F40" s="163"/>
      <c r="G40" s="109"/>
    </row>
    <row r="41" spans="6:7" ht="12.75">
      <c r="F41" s="6"/>
      <c r="G41" s="109"/>
    </row>
    <row r="42" spans="4:8" ht="15">
      <c r="D42" s="140"/>
      <c r="E42" s="188"/>
      <c r="F42" s="159" t="s">
        <v>11</v>
      </c>
      <c r="G42" s="142">
        <f>B37-G38</f>
        <v>1.4100000000034925</v>
      </c>
      <c r="H42" s="143"/>
    </row>
    <row r="43" ht="12.75">
      <c r="F43" s="6"/>
    </row>
    <row r="44" ht="12.75">
      <c r="A44" s="163"/>
    </row>
    <row r="45" spans="7:11" ht="12.75">
      <c r="G45" s="56"/>
      <c r="K45" s="128"/>
    </row>
    <row r="46" ht="12.75">
      <c r="A46" s="163"/>
    </row>
    <row r="47" spans="1:14" ht="15">
      <c r="A47" s="349" t="s">
        <v>290</v>
      </c>
      <c r="B47" s="350"/>
      <c r="C47" s="350"/>
      <c r="D47" s="350"/>
      <c r="E47" s="350"/>
      <c r="F47" s="350"/>
      <c r="G47" s="350"/>
      <c r="H47" s="350"/>
      <c r="M47" s="2">
        <v>2004</v>
      </c>
      <c r="N47" s="2">
        <v>2006</v>
      </c>
    </row>
    <row r="48" spans="1:7" ht="42" customHeight="1">
      <c r="A48" s="334" t="s">
        <v>0</v>
      </c>
      <c r="B48" s="334"/>
      <c r="D48" s="160"/>
      <c r="E48" s="26" t="s">
        <v>251</v>
      </c>
      <c r="F48" s="133"/>
      <c r="G48" s="27"/>
    </row>
    <row r="49" spans="1:14" ht="14.25">
      <c r="A49" s="325" t="s">
        <v>1</v>
      </c>
      <c r="B49" s="325"/>
      <c r="D49" s="149"/>
      <c r="E49" s="81">
        <v>4294</v>
      </c>
      <c r="F49" s="150"/>
      <c r="M49" s="2">
        <f aca="true" t="shared" si="2" ref="M49:M56">G49</f>
        <v>0</v>
      </c>
      <c r="N49" s="56">
        <f>E49</f>
        <v>4294</v>
      </c>
    </row>
    <row r="50" spans="1:14" ht="14.25">
      <c r="A50" s="325" t="s">
        <v>2</v>
      </c>
      <c r="B50" s="325"/>
      <c r="D50" s="149"/>
      <c r="E50" s="81">
        <v>2729</v>
      </c>
      <c r="F50" s="150"/>
      <c r="M50" s="2">
        <f t="shared" si="2"/>
        <v>0</v>
      </c>
      <c r="N50" s="56">
        <f aca="true" t="shared" si="3" ref="N50:N57">E50</f>
        <v>2729</v>
      </c>
    </row>
    <row r="51" spans="1:14" ht="14.25">
      <c r="A51" s="325" t="s">
        <v>3</v>
      </c>
      <c r="B51" s="325"/>
      <c r="D51" s="149"/>
      <c r="E51" s="81">
        <v>3042</v>
      </c>
      <c r="F51" s="150"/>
      <c r="M51" s="2">
        <f t="shared" si="2"/>
        <v>0</v>
      </c>
      <c r="N51" s="56">
        <f t="shared" si="3"/>
        <v>3042</v>
      </c>
    </row>
    <row r="52" spans="1:14" ht="14.25">
      <c r="A52" s="325" t="s">
        <v>9</v>
      </c>
      <c r="B52" s="325"/>
      <c r="D52" s="149"/>
      <c r="E52" s="81">
        <v>6749</v>
      </c>
      <c r="F52" s="150"/>
      <c r="M52" s="2">
        <f t="shared" si="2"/>
        <v>0</v>
      </c>
      <c r="N52" s="56">
        <f t="shared" si="3"/>
        <v>6749</v>
      </c>
    </row>
    <row r="53" spans="1:14" ht="14.25">
      <c r="A53" s="325" t="s">
        <v>4</v>
      </c>
      <c r="B53" s="325"/>
      <c r="D53" s="149"/>
      <c r="E53" s="81">
        <v>3018</v>
      </c>
      <c r="F53" s="150"/>
      <c r="M53" s="2">
        <f t="shared" si="2"/>
        <v>0</v>
      </c>
      <c r="N53" s="56">
        <f t="shared" si="3"/>
        <v>3018</v>
      </c>
    </row>
    <row r="54" spans="1:14" ht="14.25">
      <c r="A54" s="325" t="s">
        <v>5</v>
      </c>
      <c r="B54" s="325"/>
      <c r="D54" s="149"/>
      <c r="E54" s="81">
        <v>3475</v>
      </c>
      <c r="F54" s="150"/>
      <c r="M54" s="2">
        <f t="shared" si="2"/>
        <v>0</v>
      </c>
      <c r="N54" s="56">
        <f t="shared" si="3"/>
        <v>3475</v>
      </c>
    </row>
    <row r="55" spans="1:14" ht="14.25">
      <c r="A55" s="325" t="s">
        <v>6</v>
      </c>
      <c r="B55" s="325"/>
      <c r="D55" s="149"/>
      <c r="E55" s="81">
        <v>3433</v>
      </c>
      <c r="F55" s="150"/>
      <c r="M55" s="2">
        <f t="shared" si="2"/>
        <v>0</v>
      </c>
      <c r="N55" s="56">
        <f t="shared" si="3"/>
        <v>3433</v>
      </c>
    </row>
    <row r="56" spans="1:14" ht="14.25">
      <c r="A56" s="325" t="s">
        <v>7</v>
      </c>
      <c r="B56" s="325"/>
      <c r="D56" s="149"/>
      <c r="E56" s="81">
        <v>4760</v>
      </c>
      <c r="F56" s="150"/>
      <c r="M56" s="2">
        <f t="shared" si="2"/>
        <v>0</v>
      </c>
      <c r="N56" s="56">
        <f t="shared" si="3"/>
        <v>4760</v>
      </c>
    </row>
    <row r="57" spans="1:14" ht="17.25" customHeight="1">
      <c r="A57" s="352" t="s">
        <v>8</v>
      </c>
      <c r="B57" s="352"/>
      <c r="D57" s="149"/>
      <c r="E57" s="37">
        <f>SUM(E49:E56)</f>
        <v>31500</v>
      </c>
      <c r="F57" s="136"/>
      <c r="G57" s="136"/>
      <c r="K57" s="128"/>
      <c r="M57" s="2">
        <f>SUM(M49:M56)</f>
        <v>0</v>
      </c>
      <c r="N57" s="56">
        <f t="shared" si="3"/>
        <v>31500</v>
      </c>
    </row>
    <row r="59" spans="1:8" ht="18">
      <c r="A59" s="340" t="s">
        <v>226</v>
      </c>
      <c r="B59" s="340"/>
      <c r="C59" s="340"/>
      <c r="D59" s="340"/>
      <c r="E59" s="340"/>
      <c r="F59" s="340"/>
      <c r="G59" s="340"/>
      <c r="H59" s="340"/>
    </row>
    <row r="60" spans="1:8" ht="28.5" customHeight="1">
      <c r="A60" s="348" t="s">
        <v>63</v>
      </c>
      <c r="B60" s="348"/>
      <c r="C60" s="348"/>
      <c r="D60" s="348"/>
      <c r="E60" s="348"/>
      <c r="F60" s="348"/>
      <c r="G60" s="348"/>
      <c r="H60" s="348"/>
    </row>
    <row r="61" spans="1:12" ht="22.5">
      <c r="A61" s="345" t="s">
        <v>22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</row>
    <row r="63" spans="1:12" ht="15">
      <c r="A63" s="322" t="s">
        <v>21</v>
      </c>
      <c r="B63" s="323"/>
      <c r="C63" s="323"/>
      <c r="D63" s="324"/>
      <c r="E63" s="322" t="s">
        <v>17</v>
      </c>
      <c r="F63" s="323"/>
      <c r="G63" s="323"/>
      <c r="H63" s="323"/>
      <c r="I63" s="323"/>
      <c r="J63" s="323"/>
      <c r="K63" s="323"/>
      <c r="L63" s="324"/>
    </row>
    <row r="64" spans="1:12" ht="28.5" customHeight="1">
      <c r="A64" s="132"/>
      <c r="B64" s="26" t="s">
        <v>233</v>
      </c>
      <c r="C64" s="133"/>
      <c r="D64" s="27"/>
      <c r="E64" s="132"/>
      <c r="F64" s="132"/>
      <c r="G64" s="26" t="s">
        <v>227</v>
      </c>
      <c r="H64" s="133"/>
      <c r="I64" s="26"/>
      <c r="L64" s="27"/>
    </row>
    <row r="65" spans="1:12" ht="16.5" customHeight="1">
      <c r="A65" s="153" t="s">
        <v>202</v>
      </c>
      <c r="B65" s="81">
        <v>30000</v>
      </c>
      <c r="C65" s="150"/>
      <c r="D65" s="150"/>
      <c r="E65" s="351" t="s">
        <v>153</v>
      </c>
      <c r="F65" s="351"/>
      <c r="G65" s="109">
        <v>260828</v>
      </c>
      <c r="H65" s="105"/>
      <c r="L65" s="105"/>
    </row>
    <row r="66" spans="1:12" ht="16.5" customHeight="1">
      <c r="A66" s="153" t="s">
        <v>211</v>
      </c>
      <c r="B66" s="81">
        <v>20976.36</v>
      </c>
      <c r="C66" s="150"/>
      <c r="D66" s="150"/>
      <c r="E66" s="351" t="s">
        <v>189</v>
      </c>
      <c r="F66" s="351"/>
      <c r="G66" s="105"/>
      <c r="H66" s="105"/>
      <c r="L66" s="105"/>
    </row>
    <row r="67" spans="1:8" ht="16.5" customHeight="1">
      <c r="A67" s="153" t="s">
        <v>248</v>
      </c>
      <c r="B67" s="81">
        <v>209853</v>
      </c>
      <c r="C67" s="150"/>
      <c r="D67" s="150"/>
      <c r="E67" s="130" t="s">
        <v>200</v>
      </c>
      <c r="F67" s="130"/>
      <c r="G67" s="105"/>
      <c r="H67" s="105"/>
    </row>
    <row r="68" spans="1:8" ht="15" customHeight="1">
      <c r="A68" s="137" t="s">
        <v>8</v>
      </c>
      <c r="B68" s="138">
        <f>SUM(B65:B67)</f>
        <v>260829.36</v>
      </c>
      <c r="C68" s="136"/>
      <c r="D68" s="136"/>
      <c r="E68" s="130"/>
      <c r="F68" s="130"/>
      <c r="G68" s="109"/>
      <c r="H68" s="105"/>
    </row>
    <row r="69" spans="6:12" ht="14.25">
      <c r="F69" s="6" t="s">
        <v>8</v>
      </c>
      <c r="G69" s="138">
        <f>SUM(G65:G68)</f>
        <v>260828</v>
      </c>
      <c r="H69" s="136"/>
      <c r="L69" s="136"/>
    </row>
    <row r="70" spans="5:7" ht="12.75">
      <c r="E70" s="156"/>
      <c r="F70" s="6"/>
      <c r="G70" s="109"/>
    </row>
    <row r="71" spans="1:12" ht="15">
      <c r="A71" s="164"/>
      <c r="D71" s="140"/>
      <c r="E71" s="188"/>
      <c r="F71" s="159" t="s">
        <v>11</v>
      </c>
      <c r="G71" s="142">
        <f>B68-G69</f>
        <v>1.3599999999860302</v>
      </c>
      <c r="H71" s="143"/>
      <c r="I71" s="143"/>
      <c r="J71" s="143"/>
      <c r="K71" s="143"/>
      <c r="L71" s="143"/>
    </row>
    <row r="72" ht="12.75">
      <c r="F72" s="6"/>
    </row>
    <row r="73" ht="12.75">
      <c r="A73" s="163"/>
    </row>
    <row r="74" spans="7:11" ht="12.75">
      <c r="G74" s="56"/>
      <c r="K74" s="128"/>
    </row>
    <row r="75" spans="1:14" ht="12.75">
      <c r="A75" s="163"/>
      <c r="N75" s="2" t="s">
        <v>171</v>
      </c>
    </row>
    <row r="76" spans="1:14" ht="33.75" customHeight="1">
      <c r="A76" s="353" t="s">
        <v>154</v>
      </c>
      <c r="B76" s="354"/>
      <c r="C76" s="354"/>
      <c r="D76" s="354"/>
      <c r="E76" s="354"/>
      <c r="F76" s="354"/>
      <c r="G76" s="354"/>
      <c r="H76" s="355"/>
      <c r="M76" s="2">
        <v>2004</v>
      </c>
      <c r="N76" s="2">
        <v>2006</v>
      </c>
    </row>
    <row r="77" spans="1:9" ht="27" customHeight="1">
      <c r="A77" s="336" t="s">
        <v>0</v>
      </c>
      <c r="B77" s="336"/>
      <c r="C77" s="189" t="s">
        <v>155</v>
      </c>
      <c r="D77" s="189" t="s">
        <v>156</v>
      </c>
      <c r="E77" s="189" t="s">
        <v>219</v>
      </c>
      <c r="F77" s="26" t="s">
        <v>251</v>
      </c>
      <c r="G77" s="133"/>
      <c r="H77" s="27"/>
      <c r="I77" s="27" t="s">
        <v>162</v>
      </c>
    </row>
    <row r="78" spans="1:14" ht="14.25">
      <c r="A78" s="325" t="s">
        <v>1</v>
      </c>
      <c r="B78" s="325"/>
      <c r="C78" s="109">
        <v>1909</v>
      </c>
      <c r="D78" s="109">
        <v>24377</v>
      </c>
      <c r="E78" s="109">
        <v>2202</v>
      </c>
      <c r="F78" s="81">
        <f>C78+D78+E78</f>
        <v>28488</v>
      </c>
      <c r="G78" s="150"/>
      <c r="H78" s="150"/>
      <c r="L78" s="190"/>
      <c r="M78" s="2">
        <f aca="true" t="shared" si="4" ref="M78:M85">H78+(47150/8)</f>
        <v>5893.75</v>
      </c>
      <c r="N78" s="2">
        <f>F78+(30000/8)</f>
        <v>32238</v>
      </c>
    </row>
    <row r="79" spans="1:14" ht="14.25">
      <c r="A79" s="325" t="s">
        <v>2</v>
      </c>
      <c r="B79" s="325"/>
      <c r="C79" s="109">
        <v>1213</v>
      </c>
      <c r="D79" s="109">
        <v>19059</v>
      </c>
      <c r="E79" s="109">
        <v>1722</v>
      </c>
      <c r="F79" s="81">
        <f aca="true" t="shared" si="5" ref="F79:F85">C79+D79+E79</f>
        <v>21994</v>
      </c>
      <c r="G79" s="150"/>
      <c r="H79" s="150"/>
      <c r="L79" s="190"/>
      <c r="M79" s="2">
        <f t="shared" si="4"/>
        <v>5893.75</v>
      </c>
      <c r="N79" s="2">
        <f aca="true" t="shared" si="6" ref="N79:N85">F79+(30000/8)</f>
        <v>25744</v>
      </c>
    </row>
    <row r="80" spans="1:14" ht="14.25">
      <c r="A80" s="325" t="s">
        <v>3</v>
      </c>
      <c r="B80" s="325"/>
      <c r="C80" s="109">
        <v>1352</v>
      </c>
      <c r="D80" s="109">
        <v>20131</v>
      </c>
      <c r="E80" s="109">
        <v>1818</v>
      </c>
      <c r="F80" s="81">
        <f t="shared" si="5"/>
        <v>23301</v>
      </c>
      <c r="G80" s="150"/>
      <c r="H80" s="150"/>
      <c r="L80" s="190"/>
      <c r="M80" s="2">
        <f t="shared" si="4"/>
        <v>5893.75</v>
      </c>
      <c r="N80" s="2">
        <f t="shared" si="6"/>
        <v>27051</v>
      </c>
    </row>
    <row r="81" spans="1:14" ht="14.25">
      <c r="A81" s="325" t="s">
        <v>9</v>
      </c>
      <c r="B81" s="325"/>
      <c r="C81" s="109">
        <v>3000</v>
      </c>
      <c r="D81" s="109">
        <v>28178</v>
      </c>
      <c r="E81" s="109">
        <v>2545</v>
      </c>
      <c r="F81" s="81">
        <f t="shared" si="5"/>
        <v>33723</v>
      </c>
      <c r="G81" s="150"/>
      <c r="H81" s="150"/>
      <c r="L81" s="190"/>
      <c r="M81" s="2">
        <f t="shared" si="4"/>
        <v>5893.75</v>
      </c>
      <c r="N81" s="2">
        <f t="shared" si="6"/>
        <v>37473</v>
      </c>
    </row>
    <row r="82" spans="1:14" ht="14.25">
      <c r="A82" s="325" t="s">
        <v>4</v>
      </c>
      <c r="B82" s="325"/>
      <c r="C82" s="109">
        <v>1341</v>
      </c>
      <c r="D82" s="109">
        <v>20189</v>
      </c>
      <c r="E82" s="109">
        <v>1823</v>
      </c>
      <c r="F82" s="81">
        <f t="shared" si="5"/>
        <v>23353</v>
      </c>
      <c r="G82" s="150"/>
      <c r="H82" s="150"/>
      <c r="L82" s="190"/>
      <c r="M82" s="2">
        <f t="shared" si="4"/>
        <v>5893.75</v>
      </c>
      <c r="N82" s="2">
        <f t="shared" si="6"/>
        <v>27103</v>
      </c>
    </row>
    <row r="83" spans="1:14" ht="14.25">
      <c r="A83" s="325" t="s">
        <v>5</v>
      </c>
      <c r="B83" s="325"/>
      <c r="C83" s="109">
        <v>1544</v>
      </c>
      <c r="D83" s="109">
        <v>21297</v>
      </c>
      <c r="E83" s="109">
        <v>1923</v>
      </c>
      <c r="F83" s="81">
        <f t="shared" si="5"/>
        <v>24764</v>
      </c>
      <c r="G83" s="150"/>
      <c r="H83" s="150"/>
      <c r="L83" s="190"/>
      <c r="M83" s="2">
        <f t="shared" si="4"/>
        <v>5893.75</v>
      </c>
      <c r="N83" s="2">
        <f t="shared" si="6"/>
        <v>28514</v>
      </c>
    </row>
    <row r="84" spans="1:14" ht="14.25">
      <c r="A84" s="325" t="s">
        <v>6</v>
      </c>
      <c r="B84" s="325"/>
      <c r="C84" s="109">
        <v>1526</v>
      </c>
      <c r="D84" s="109">
        <v>21227</v>
      </c>
      <c r="E84" s="109">
        <v>1917</v>
      </c>
      <c r="F84" s="81">
        <f t="shared" si="5"/>
        <v>24670</v>
      </c>
      <c r="G84" s="150"/>
      <c r="H84" s="150"/>
      <c r="L84" s="190"/>
      <c r="M84" s="2">
        <f t="shared" si="4"/>
        <v>5893.75</v>
      </c>
      <c r="N84" s="2">
        <f t="shared" si="6"/>
        <v>28420</v>
      </c>
    </row>
    <row r="85" spans="1:14" ht="14.25">
      <c r="A85" s="325" t="s">
        <v>7</v>
      </c>
      <c r="B85" s="325"/>
      <c r="C85" s="109">
        <v>2115</v>
      </c>
      <c r="D85" s="109">
        <v>25171</v>
      </c>
      <c r="E85" s="109">
        <v>2274</v>
      </c>
      <c r="F85" s="81">
        <f t="shared" si="5"/>
        <v>29560</v>
      </c>
      <c r="G85" s="150"/>
      <c r="H85" s="150"/>
      <c r="L85" s="190"/>
      <c r="M85" s="2">
        <f t="shared" si="4"/>
        <v>5893.75</v>
      </c>
      <c r="N85" s="2">
        <f t="shared" si="6"/>
        <v>33310</v>
      </c>
    </row>
    <row r="86" spans="2:14" ht="14.25">
      <c r="B86" s="162" t="s">
        <v>8</v>
      </c>
      <c r="C86" s="138">
        <f aca="true" t="shared" si="7" ref="C86:K86">SUM(C78:C85)</f>
        <v>14000</v>
      </c>
      <c r="D86" s="138">
        <f t="shared" si="7"/>
        <v>179629</v>
      </c>
      <c r="E86" s="138">
        <f t="shared" si="7"/>
        <v>16224</v>
      </c>
      <c r="F86" s="37">
        <f t="shared" si="7"/>
        <v>209853</v>
      </c>
      <c r="G86" s="38"/>
      <c r="H86" s="38"/>
      <c r="I86" s="108">
        <f t="shared" si="7"/>
        <v>0</v>
      </c>
      <c r="J86" s="66">
        <f t="shared" si="7"/>
        <v>0</v>
      </c>
      <c r="K86" s="66">
        <f t="shared" si="7"/>
        <v>0</v>
      </c>
      <c r="L86" s="191"/>
      <c r="M86" s="192">
        <f>SUM(M78:M85)</f>
        <v>47150</v>
      </c>
      <c r="N86" s="2">
        <f>SUM(N78:N85)</f>
        <v>239853</v>
      </c>
    </row>
    <row r="88" spans="1:8" ht="18">
      <c r="A88" s="340" t="s">
        <v>226</v>
      </c>
      <c r="B88" s="340"/>
      <c r="C88" s="340"/>
      <c r="D88" s="340"/>
      <c r="E88" s="340"/>
      <c r="F88" s="340"/>
      <c r="G88" s="340"/>
      <c r="H88" s="340"/>
    </row>
    <row r="89" spans="1:8" ht="28.5" customHeight="1" thickBot="1">
      <c r="A89" s="348" t="s">
        <v>63</v>
      </c>
      <c r="B89" s="348"/>
      <c r="C89" s="348"/>
      <c r="D89" s="348"/>
      <c r="E89" s="348"/>
      <c r="F89" s="348"/>
      <c r="G89" s="348"/>
      <c r="H89" s="348"/>
    </row>
    <row r="90" spans="1:12" ht="23.25" thickBot="1">
      <c r="A90" s="337" t="s">
        <v>61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9"/>
    </row>
    <row r="92" spans="1:12" ht="15">
      <c r="A92" s="322" t="s">
        <v>21</v>
      </c>
      <c r="B92" s="324"/>
      <c r="C92" s="132"/>
      <c r="E92" s="322" t="s">
        <v>17</v>
      </c>
      <c r="F92" s="323"/>
      <c r="G92" s="323"/>
      <c r="H92" s="323"/>
      <c r="I92" s="323"/>
      <c r="J92" s="323"/>
      <c r="K92" s="323"/>
      <c r="L92" s="324"/>
    </row>
    <row r="93" spans="1:12" ht="28.5" customHeight="1">
      <c r="A93" s="153"/>
      <c r="B93" s="26" t="s">
        <v>233</v>
      </c>
      <c r="C93" s="133"/>
      <c r="G93" s="26" t="s">
        <v>227</v>
      </c>
      <c r="H93" s="133"/>
      <c r="I93" s="26" t="s">
        <v>127</v>
      </c>
      <c r="L93" s="27" t="s">
        <v>162</v>
      </c>
    </row>
    <row r="94" spans="1:12" ht="37.5" customHeight="1">
      <c r="A94" s="153" t="s">
        <v>221</v>
      </c>
      <c r="B94" s="81">
        <f>99851+99649</f>
        <v>199500</v>
      </c>
      <c r="C94" s="150"/>
      <c r="E94" s="330" t="s">
        <v>169</v>
      </c>
      <c r="F94" s="330"/>
      <c r="G94" s="109">
        <f>1334+5400</f>
        <v>6734</v>
      </c>
      <c r="H94" s="56"/>
      <c r="L94" s="56">
        <v>38821.8</v>
      </c>
    </row>
    <row r="95" spans="1:10" ht="14.25">
      <c r="A95" s="153" t="s">
        <v>248</v>
      </c>
      <c r="B95" s="81">
        <v>157116</v>
      </c>
      <c r="C95" s="150"/>
      <c r="E95" s="54" t="s">
        <v>252</v>
      </c>
      <c r="G95" s="109">
        <v>691</v>
      </c>
      <c r="J95" s="56"/>
    </row>
    <row r="96" spans="1:12" ht="14.25">
      <c r="A96" s="137" t="s">
        <v>8</v>
      </c>
      <c r="B96" s="138">
        <f>SUM(B94:B95)</f>
        <v>356616</v>
      </c>
      <c r="C96" s="136"/>
      <c r="E96" s="330" t="s">
        <v>253</v>
      </c>
      <c r="F96" s="330"/>
      <c r="G96" s="109">
        <v>49500</v>
      </c>
      <c r="H96" s="157"/>
      <c r="I96" s="157">
        <f>SUM(I93:I95)</f>
        <v>0</v>
      </c>
      <c r="J96" s="157">
        <f>SUM(J93:J95)</f>
        <v>0</v>
      </c>
      <c r="K96" s="157">
        <f>SUM(K93:K95)</f>
        <v>0</v>
      </c>
      <c r="L96" s="157">
        <f>SUM(L93:L95)</f>
        <v>38821.8</v>
      </c>
    </row>
    <row r="97" spans="1:12" ht="14.25">
      <c r="A97" s="137"/>
      <c r="B97" s="138"/>
      <c r="C97" s="136"/>
      <c r="E97" s="330" t="s">
        <v>183</v>
      </c>
      <c r="F97" s="330"/>
      <c r="G97" s="109">
        <v>299502</v>
      </c>
      <c r="H97" s="157"/>
      <c r="I97" s="157"/>
      <c r="J97" s="157"/>
      <c r="K97" s="157"/>
      <c r="L97" s="157"/>
    </row>
    <row r="98" spans="5:7" ht="12.75">
      <c r="E98" s="156"/>
      <c r="F98" s="137" t="s">
        <v>8</v>
      </c>
      <c r="G98" s="152">
        <f>SUM(G94:G97)</f>
        <v>356427</v>
      </c>
    </row>
    <row r="99" spans="6:7" ht="12.75">
      <c r="F99" s="6"/>
      <c r="G99" s="109"/>
    </row>
    <row r="100" spans="4:8" ht="15">
      <c r="D100" s="140"/>
      <c r="E100" s="188"/>
      <c r="F100" s="159" t="s">
        <v>11</v>
      </c>
      <c r="G100" s="142">
        <f>B96-G98</f>
        <v>189</v>
      </c>
      <c r="H100" s="143"/>
    </row>
    <row r="101" ht="12.75">
      <c r="F101" s="6"/>
    </row>
    <row r="102" ht="12.75">
      <c r="F102" s="6"/>
    </row>
    <row r="103" ht="12.75">
      <c r="F103" s="6"/>
    </row>
    <row r="105" spans="1:14" ht="15">
      <c r="A105" s="327" t="s">
        <v>291</v>
      </c>
      <c r="B105" s="328"/>
      <c r="C105" s="328"/>
      <c r="D105" s="328"/>
      <c r="E105" s="328"/>
      <c r="F105" s="328"/>
      <c r="G105" s="329"/>
      <c r="M105" s="2">
        <v>2004</v>
      </c>
      <c r="N105" s="2">
        <v>2006</v>
      </c>
    </row>
    <row r="106" spans="1:11" ht="14.25">
      <c r="A106" s="347" t="s">
        <v>0</v>
      </c>
      <c r="B106" s="347"/>
      <c r="C106" s="347"/>
      <c r="D106" s="160"/>
      <c r="E106" s="26" t="s">
        <v>251</v>
      </c>
      <c r="F106" s="133"/>
      <c r="G106" s="27"/>
      <c r="K106" s="175"/>
    </row>
    <row r="107" spans="1:14" ht="14.25">
      <c r="A107" s="344" t="s">
        <v>1</v>
      </c>
      <c r="B107" s="344"/>
      <c r="C107" s="344"/>
      <c r="D107" s="149"/>
      <c r="E107" s="150">
        <v>43718</v>
      </c>
      <c r="F107" s="150"/>
      <c r="M107" s="2">
        <f aca="true" t="shared" si="8" ref="M107:M114">G107</f>
        <v>0</v>
      </c>
      <c r="N107" s="2">
        <f aca="true" t="shared" si="9" ref="N107:N114">$G$98*D107/100</f>
        <v>0</v>
      </c>
    </row>
    <row r="108" spans="1:14" ht="15" customHeight="1">
      <c r="A108" s="344" t="s">
        <v>2</v>
      </c>
      <c r="B108" s="344"/>
      <c r="C108" s="344"/>
      <c r="D108" s="149"/>
      <c r="E108" s="150">
        <v>21750</v>
      </c>
      <c r="F108" s="150"/>
      <c r="M108" s="2">
        <f t="shared" si="8"/>
        <v>0</v>
      </c>
      <c r="N108" s="2">
        <f t="shared" si="9"/>
        <v>0</v>
      </c>
    </row>
    <row r="109" spans="1:14" ht="15" customHeight="1">
      <c r="A109" s="344" t="s">
        <v>3</v>
      </c>
      <c r="B109" s="344"/>
      <c r="C109" s="344"/>
      <c r="D109" s="149"/>
      <c r="E109" s="150">
        <v>677</v>
      </c>
      <c r="F109" s="150"/>
      <c r="M109" s="2">
        <f t="shared" si="8"/>
        <v>0</v>
      </c>
      <c r="N109" s="2">
        <f t="shared" si="9"/>
        <v>0</v>
      </c>
    </row>
    <row r="110" spans="1:14" ht="15" customHeight="1">
      <c r="A110" s="344" t="s">
        <v>9</v>
      </c>
      <c r="B110" s="344"/>
      <c r="C110" s="344"/>
      <c r="D110" s="149"/>
      <c r="E110" s="150">
        <v>0</v>
      </c>
      <c r="F110" s="150"/>
      <c r="M110" s="2">
        <f t="shared" si="8"/>
        <v>0</v>
      </c>
      <c r="N110" s="2">
        <f t="shared" si="9"/>
        <v>0</v>
      </c>
    </row>
    <row r="111" spans="1:14" ht="14.25">
      <c r="A111" s="344" t="s">
        <v>4</v>
      </c>
      <c r="B111" s="344"/>
      <c r="C111" s="344"/>
      <c r="D111" s="149"/>
      <c r="E111" s="150">
        <v>25809</v>
      </c>
      <c r="F111" s="150"/>
      <c r="M111" s="2">
        <f t="shared" si="8"/>
        <v>0</v>
      </c>
      <c r="N111" s="2">
        <f t="shared" si="9"/>
        <v>0</v>
      </c>
    </row>
    <row r="112" spans="1:14" ht="15" customHeight="1">
      <c r="A112" s="344" t="s">
        <v>5</v>
      </c>
      <c r="B112" s="344"/>
      <c r="C112" s="344"/>
      <c r="D112" s="149"/>
      <c r="E112" s="150">
        <v>32221</v>
      </c>
      <c r="F112" s="150"/>
      <c r="M112" s="2">
        <f t="shared" si="8"/>
        <v>0</v>
      </c>
      <c r="N112" s="2">
        <f t="shared" si="9"/>
        <v>0</v>
      </c>
    </row>
    <row r="113" spans="1:14" ht="15" customHeight="1">
      <c r="A113" s="344" t="s">
        <v>6</v>
      </c>
      <c r="B113" s="344"/>
      <c r="C113" s="344"/>
      <c r="D113" s="149"/>
      <c r="E113" s="150">
        <v>31638</v>
      </c>
      <c r="F113" s="150"/>
      <c r="M113" s="2">
        <f t="shared" si="8"/>
        <v>0</v>
      </c>
      <c r="N113" s="2">
        <f t="shared" si="9"/>
        <v>0</v>
      </c>
    </row>
    <row r="114" spans="1:14" ht="15" customHeight="1">
      <c r="A114" s="344" t="s">
        <v>7</v>
      </c>
      <c r="B114" s="344"/>
      <c r="C114" s="344"/>
      <c r="D114" s="149"/>
      <c r="E114" s="150">
        <v>1303</v>
      </c>
      <c r="F114" s="150"/>
      <c r="M114" s="2">
        <f t="shared" si="8"/>
        <v>0</v>
      </c>
      <c r="N114" s="2">
        <f t="shared" si="9"/>
        <v>0</v>
      </c>
    </row>
    <row r="115" spans="1:14" ht="14.25">
      <c r="A115" s="2" t="s">
        <v>8</v>
      </c>
      <c r="D115" s="149"/>
      <c r="E115" s="136">
        <f>SUM(E107:E114)</f>
        <v>157116</v>
      </c>
      <c r="F115" s="136"/>
      <c r="G115" s="136"/>
      <c r="K115" s="128"/>
      <c r="M115" s="2">
        <f>SUM(M107:M114)</f>
        <v>0</v>
      </c>
      <c r="N115" s="2">
        <f>SUM(N107:N114)</f>
        <v>0</v>
      </c>
    </row>
    <row r="116" spans="1:8" ht="18">
      <c r="A116" s="340" t="s">
        <v>226</v>
      </c>
      <c r="B116" s="340"/>
      <c r="C116" s="340"/>
      <c r="D116" s="340"/>
      <c r="E116" s="340"/>
      <c r="F116" s="340"/>
      <c r="G116" s="340"/>
      <c r="H116" s="340"/>
    </row>
    <row r="117" spans="1:8" ht="19.5">
      <c r="A117" s="348" t="s">
        <v>63</v>
      </c>
      <c r="B117" s="348"/>
      <c r="C117" s="348"/>
      <c r="D117" s="348"/>
      <c r="E117" s="348"/>
      <c r="F117" s="348"/>
      <c r="G117" s="348"/>
      <c r="H117" s="348"/>
    </row>
    <row r="118" spans="1:12" ht="22.5">
      <c r="A118" s="345" t="s">
        <v>57</v>
      </c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</row>
    <row r="120" spans="1:12" ht="15">
      <c r="A120" s="322" t="s">
        <v>21</v>
      </c>
      <c r="B120" s="323"/>
      <c r="C120" s="324"/>
      <c r="E120" s="322" t="s">
        <v>17</v>
      </c>
      <c r="F120" s="323"/>
      <c r="G120" s="323"/>
      <c r="H120" s="323"/>
      <c r="I120" s="323"/>
      <c r="J120" s="323"/>
      <c r="K120" s="323"/>
      <c r="L120" s="324"/>
    </row>
    <row r="121" spans="1:12" ht="28.5" customHeight="1">
      <c r="A121" s="153"/>
      <c r="B121" s="26" t="s">
        <v>233</v>
      </c>
      <c r="C121" s="133"/>
      <c r="E121" s="3"/>
      <c r="F121" s="3"/>
      <c r="G121" s="26" t="s">
        <v>227</v>
      </c>
      <c r="H121" s="133"/>
      <c r="I121" s="26" t="s">
        <v>127</v>
      </c>
      <c r="L121" s="27"/>
    </row>
    <row r="122" spans="1:12" ht="23.25" customHeight="1">
      <c r="A122" s="153" t="s">
        <v>248</v>
      </c>
      <c r="B122" s="81">
        <v>10000</v>
      </c>
      <c r="E122" s="130" t="s">
        <v>222</v>
      </c>
      <c r="F122" s="130"/>
      <c r="G122" s="81">
        <f>8000+2000</f>
        <v>10000</v>
      </c>
      <c r="H122" s="166"/>
      <c r="L122" s="166"/>
    </row>
    <row r="123" spans="1:12" ht="30.75" customHeight="1">
      <c r="A123" s="137" t="s">
        <v>8</v>
      </c>
      <c r="B123" s="138">
        <f>SUM(B122)</f>
        <v>10000</v>
      </c>
      <c r="C123" s="136"/>
      <c r="E123" s="130" t="s">
        <v>126</v>
      </c>
      <c r="F123" s="130"/>
      <c r="G123" s="81">
        <v>0</v>
      </c>
      <c r="H123" s="166"/>
      <c r="L123" s="166"/>
    </row>
    <row r="124" spans="5:12" ht="14.25">
      <c r="E124" s="163"/>
      <c r="F124" s="6" t="s">
        <v>8</v>
      </c>
      <c r="G124" s="138">
        <f>SUM(G122:G123)</f>
        <v>10000</v>
      </c>
      <c r="H124" s="174"/>
      <c r="I124" s="174"/>
      <c r="J124" s="174"/>
      <c r="K124" s="174"/>
      <c r="L124" s="174"/>
    </row>
    <row r="125" spans="5:7" ht="12.75">
      <c r="E125" s="163"/>
      <c r="F125" s="163"/>
      <c r="G125" s="109"/>
    </row>
    <row r="126" spans="2:7" ht="12.75">
      <c r="B126" s="2" t="s">
        <v>28</v>
      </c>
      <c r="F126" s="6"/>
      <c r="G126" s="109"/>
    </row>
    <row r="127" spans="4:8" ht="15">
      <c r="D127" s="140"/>
      <c r="E127" s="188"/>
      <c r="F127" s="159" t="s">
        <v>11</v>
      </c>
      <c r="G127" s="142">
        <f>B123-G124</f>
        <v>0</v>
      </c>
      <c r="H127" s="143"/>
    </row>
    <row r="128" ht="12.75">
      <c r="F128" s="6"/>
    </row>
    <row r="129" ht="12.75">
      <c r="A129" s="163"/>
    </row>
    <row r="130" ht="12.75">
      <c r="G130" s="56"/>
    </row>
    <row r="131" ht="12.75">
      <c r="A131" s="163"/>
    </row>
    <row r="132" spans="1:14" ht="15">
      <c r="A132" s="349" t="s">
        <v>293</v>
      </c>
      <c r="B132" s="350"/>
      <c r="C132" s="350"/>
      <c r="D132" s="350"/>
      <c r="E132" s="350"/>
      <c r="F132" s="350"/>
      <c r="G132" s="350"/>
      <c r="H132" s="350"/>
      <c r="M132" s="2">
        <v>2004</v>
      </c>
      <c r="N132" s="2">
        <v>2006</v>
      </c>
    </row>
    <row r="133" spans="1:7" ht="14.25">
      <c r="A133" s="193" t="s">
        <v>0</v>
      </c>
      <c r="B133" s="160"/>
      <c r="C133" s="160"/>
      <c r="D133" s="160"/>
      <c r="E133" s="26" t="s">
        <v>251</v>
      </c>
      <c r="F133" s="133"/>
      <c r="G133" s="27"/>
    </row>
    <row r="134" spans="1:14" ht="14.25">
      <c r="A134" s="187" t="s">
        <v>1</v>
      </c>
      <c r="B134" s="149"/>
      <c r="C134" s="56"/>
      <c r="D134" s="56"/>
      <c r="E134" s="150">
        <v>2566</v>
      </c>
      <c r="F134" s="150"/>
      <c r="M134" s="2">
        <f aca="true" t="shared" si="10" ref="M134:M141">G134</f>
        <v>0</v>
      </c>
      <c r="N134" s="56">
        <f>E134</f>
        <v>2566</v>
      </c>
    </row>
    <row r="135" spans="1:14" ht="14.25">
      <c r="A135" s="187" t="s">
        <v>2</v>
      </c>
      <c r="B135" s="149"/>
      <c r="C135" s="56"/>
      <c r="D135" s="56"/>
      <c r="E135" s="150">
        <v>1264</v>
      </c>
      <c r="F135" s="150"/>
      <c r="M135" s="2">
        <f t="shared" si="10"/>
        <v>0</v>
      </c>
      <c r="N135" s="56">
        <f aca="true" t="shared" si="11" ref="N135:N141">E135</f>
        <v>1264</v>
      </c>
    </row>
    <row r="136" spans="1:14" ht="14.25">
      <c r="A136" s="187" t="s">
        <v>3</v>
      </c>
      <c r="B136" s="149"/>
      <c r="C136" s="56"/>
      <c r="D136" s="56"/>
      <c r="E136" s="150">
        <v>1019</v>
      </c>
      <c r="F136" s="150"/>
      <c r="M136" s="2">
        <f t="shared" si="10"/>
        <v>0</v>
      </c>
      <c r="N136" s="56">
        <f t="shared" si="11"/>
        <v>1019</v>
      </c>
    </row>
    <row r="137" spans="1:14" ht="14.25">
      <c r="A137" s="187" t="s">
        <v>9</v>
      </c>
      <c r="B137" s="149"/>
      <c r="C137" s="56"/>
      <c r="D137" s="56"/>
      <c r="E137" s="150">
        <v>1719</v>
      </c>
      <c r="F137" s="150"/>
      <c r="M137" s="2">
        <f t="shared" si="10"/>
        <v>0</v>
      </c>
      <c r="N137" s="56">
        <f t="shared" si="11"/>
        <v>1719</v>
      </c>
    </row>
    <row r="138" spans="1:14" ht="14.25">
      <c r="A138" s="187" t="s">
        <v>4</v>
      </c>
      <c r="B138" s="149"/>
      <c r="C138" s="56"/>
      <c r="D138" s="56"/>
      <c r="E138" s="150">
        <v>774</v>
      </c>
      <c r="F138" s="150"/>
      <c r="M138" s="2">
        <f t="shared" si="10"/>
        <v>0</v>
      </c>
      <c r="N138" s="56">
        <f t="shared" si="11"/>
        <v>774</v>
      </c>
    </row>
    <row r="139" spans="1:14" ht="14.25">
      <c r="A139" s="187" t="s">
        <v>5</v>
      </c>
      <c r="B139" s="149"/>
      <c r="C139" s="56"/>
      <c r="D139" s="56"/>
      <c r="E139" s="150">
        <v>809</v>
      </c>
      <c r="F139" s="150"/>
      <c r="M139" s="2">
        <f t="shared" si="10"/>
        <v>0</v>
      </c>
      <c r="N139" s="56">
        <f t="shared" si="11"/>
        <v>809</v>
      </c>
    </row>
    <row r="140" spans="1:14" ht="14.25">
      <c r="A140" s="187" t="s">
        <v>6</v>
      </c>
      <c r="B140" s="149"/>
      <c r="C140" s="56"/>
      <c r="D140" s="56"/>
      <c r="E140" s="150">
        <v>1075</v>
      </c>
      <c r="F140" s="150"/>
      <c r="M140" s="2">
        <f t="shared" si="10"/>
        <v>0</v>
      </c>
      <c r="N140" s="56">
        <f t="shared" si="11"/>
        <v>1075</v>
      </c>
    </row>
    <row r="141" spans="1:14" ht="14.25">
      <c r="A141" s="187" t="s">
        <v>7</v>
      </c>
      <c r="B141" s="149"/>
      <c r="C141" s="56"/>
      <c r="D141" s="56"/>
      <c r="E141" s="150">
        <v>774</v>
      </c>
      <c r="F141" s="150"/>
      <c r="M141" s="2">
        <f t="shared" si="10"/>
        <v>0</v>
      </c>
      <c r="N141" s="56">
        <f t="shared" si="11"/>
        <v>774</v>
      </c>
    </row>
    <row r="142" spans="1:14" ht="14.25">
      <c r="A142" s="162" t="s">
        <v>8</v>
      </c>
      <c r="B142" s="149"/>
      <c r="C142" s="149"/>
      <c r="D142" s="56"/>
      <c r="E142" s="38">
        <f>SUM(E134:E141)</f>
        <v>10000</v>
      </c>
      <c r="F142" s="38"/>
      <c r="G142" s="38"/>
      <c r="M142" s="2">
        <f>SUM(M134:M141)</f>
        <v>0</v>
      </c>
      <c r="N142" s="56">
        <f>SUM(N134:N141)</f>
        <v>10000</v>
      </c>
    </row>
    <row r="146" spans="1:8" ht="12.75">
      <c r="A146" s="194"/>
      <c r="B146" s="181"/>
      <c r="C146" s="181"/>
      <c r="D146" s="195"/>
      <c r="E146" s="195"/>
      <c r="F146" s="181"/>
      <c r="G146" s="195"/>
      <c r="H146" s="181"/>
    </row>
    <row r="148" spans="5:7" ht="12.75">
      <c r="E148" s="181"/>
      <c r="F148" s="181"/>
      <c r="G148" s="181"/>
    </row>
    <row r="149" spans="5:7" ht="12.75">
      <c r="E149" s="157"/>
      <c r="F149" s="157"/>
      <c r="G149" s="157"/>
    </row>
    <row r="150" spans="1:7" ht="12.75">
      <c r="A150" s="2" t="s">
        <v>254</v>
      </c>
      <c r="B150" s="123">
        <f>G15+G42+G71+G100</f>
        <v>249.70999999999003</v>
      </c>
      <c r="G150" s="157"/>
    </row>
    <row r="151" ht="12.75">
      <c r="G151" s="157"/>
    </row>
    <row r="152" ht="12.75">
      <c r="G152" s="157"/>
    </row>
    <row r="153" ht="12.75">
      <c r="G153" s="157"/>
    </row>
    <row r="154" ht="12.75">
      <c r="G154" s="157"/>
    </row>
    <row r="155" ht="12.75">
      <c r="G155" s="157"/>
    </row>
    <row r="156" ht="12.75">
      <c r="G156" s="157"/>
    </row>
    <row r="157" ht="12.75">
      <c r="G157" s="157"/>
    </row>
    <row r="158" ht="12.75">
      <c r="G158" s="157"/>
    </row>
    <row r="159" ht="12.75">
      <c r="G159" s="157"/>
    </row>
    <row r="160" ht="12.75">
      <c r="G160" s="157"/>
    </row>
  </sheetData>
  <mergeCells count="84">
    <mergeCell ref="A61:L61"/>
    <mergeCell ref="E63:L63"/>
    <mergeCell ref="A107:C107"/>
    <mergeCell ref="A82:B82"/>
    <mergeCell ref="A85:B85"/>
    <mergeCell ref="A78:B78"/>
    <mergeCell ref="E67:F67"/>
    <mergeCell ref="A76:H76"/>
    <mergeCell ref="A89:H89"/>
    <mergeCell ref="A63:D63"/>
    <mergeCell ref="A3:L3"/>
    <mergeCell ref="A49:B49"/>
    <mergeCell ref="A57:B57"/>
    <mergeCell ref="A53:B53"/>
    <mergeCell ref="A54:B54"/>
    <mergeCell ref="A55:B55"/>
    <mergeCell ref="A56:B56"/>
    <mergeCell ref="A50:B50"/>
    <mergeCell ref="A51:B51"/>
    <mergeCell ref="A52:B52"/>
    <mergeCell ref="A27:B27"/>
    <mergeCell ref="A47:H47"/>
    <mergeCell ref="E35:F35"/>
    <mergeCell ref="E36:F36"/>
    <mergeCell ref="A31:L31"/>
    <mergeCell ref="E33:L33"/>
    <mergeCell ref="A33:C33"/>
    <mergeCell ref="A48:B48"/>
    <mergeCell ref="E68:F68"/>
    <mergeCell ref="A84:B84"/>
    <mergeCell ref="A105:G105"/>
    <mergeCell ref="E92:L92"/>
    <mergeCell ref="A79:B79"/>
    <mergeCell ref="A80:B80"/>
    <mergeCell ref="E94:F94"/>
    <mergeCell ref="A81:B81"/>
    <mergeCell ref="A88:H88"/>
    <mergeCell ref="A21:B21"/>
    <mergeCell ref="A26:B26"/>
    <mergeCell ref="A23:B23"/>
    <mergeCell ref="A24:B24"/>
    <mergeCell ref="A25:B25"/>
    <mergeCell ref="A22:B22"/>
    <mergeCell ref="E5:L5"/>
    <mergeCell ref="A20:B20"/>
    <mergeCell ref="E8:F8"/>
    <mergeCell ref="A19:B19"/>
    <mergeCell ref="E7:F7"/>
    <mergeCell ref="A5:C5"/>
    <mergeCell ref="E9:F9"/>
    <mergeCell ref="E10:F10"/>
    <mergeCell ref="A1:H1"/>
    <mergeCell ref="E65:F65"/>
    <mergeCell ref="A77:B77"/>
    <mergeCell ref="E66:F66"/>
    <mergeCell ref="E37:F37"/>
    <mergeCell ref="A2:H2"/>
    <mergeCell ref="A29:H29"/>
    <mergeCell ref="A30:H30"/>
    <mergeCell ref="E11:F11"/>
    <mergeCell ref="A18:H18"/>
    <mergeCell ref="A59:H59"/>
    <mergeCell ref="A60:H60"/>
    <mergeCell ref="A114:C114"/>
    <mergeCell ref="A116:H116"/>
    <mergeCell ref="A112:C112"/>
    <mergeCell ref="A113:C113"/>
    <mergeCell ref="A108:C108"/>
    <mergeCell ref="A83:B83"/>
    <mergeCell ref="A92:B92"/>
    <mergeCell ref="A90:L90"/>
    <mergeCell ref="E120:L120"/>
    <mergeCell ref="A132:H132"/>
    <mergeCell ref="E122:F122"/>
    <mergeCell ref="E123:F123"/>
    <mergeCell ref="A120:C120"/>
    <mergeCell ref="A110:C110"/>
    <mergeCell ref="E96:F96"/>
    <mergeCell ref="A111:C111"/>
    <mergeCell ref="A118:L118"/>
    <mergeCell ref="A109:C109"/>
    <mergeCell ref="A106:C106"/>
    <mergeCell ref="E97:F97"/>
    <mergeCell ref="A117:H117"/>
  </mergeCells>
  <printOptions gridLines="1"/>
  <pageMargins left="0.75" right="0.75" top="1" bottom="1" header="0.5" footer="0.5"/>
  <pageSetup horizontalDpi="600" verticalDpi="600" orientation="landscape" paperSize="9" scale="75" r:id="rId1"/>
  <headerFooter alignWithMargins="0">
    <oddFooter>&amp;L&amp;"Arial,Grassetto"Bilancio di previsione 2006&amp;C &amp;RPagina &amp;P</oddFooter>
  </headerFooter>
  <rowBreaks count="4" manualBreakCount="4">
    <brk id="28" max="255" man="1"/>
    <brk id="58" max="12" man="1"/>
    <brk id="87" max="255" man="1"/>
    <brk id="11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75" zoomScaleSheetLayoutView="75" workbookViewId="0" topLeftCell="A1">
      <selection activeCell="E23" sqref="E23"/>
    </sheetView>
  </sheetViews>
  <sheetFormatPr defaultColWidth="9.140625" defaultRowHeight="12.75"/>
  <cols>
    <col min="1" max="1" width="13.7109375" style="2" bestFit="1" customWidth="1"/>
    <col min="2" max="9" width="9.140625" style="2" customWidth="1"/>
    <col min="10" max="10" width="9.8515625" style="2" customWidth="1"/>
    <col min="11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.75" thickBot="1">
      <c r="A11" s="291" t="s">
        <v>226</v>
      </c>
      <c r="B11" s="292"/>
      <c r="C11" s="292"/>
      <c r="D11" s="292"/>
      <c r="E11" s="292"/>
      <c r="F11" s="292"/>
      <c r="G11" s="292"/>
      <c r="H11" s="292"/>
      <c r="I11" s="292"/>
      <c r="J11" s="293"/>
      <c r="K11" s="3"/>
      <c r="L11" s="3"/>
    </row>
    <row r="12" spans="1:12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</row>
    <row r="13" spans="1:12" ht="18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 customHeight="1">
      <c r="A15" s="282" t="s">
        <v>101</v>
      </c>
      <c r="B15" s="283"/>
      <c r="C15" s="283"/>
      <c r="D15" s="283"/>
      <c r="E15" s="283"/>
      <c r="F15" s="283"/>
      <c r="G15" s="283"/>
      <c r="H15" s="283"/>
      <c r="I15" s="283"/>
      <c r="J15" s="284"/>
      <c r="K15" s="3"/>
      <c r="L15" s="3"/>
    </row>
    <row r="16" spans="1:12" ht="12.7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7"/>
      <c r="K16" s="3"/>
      <c r="L16" s="3"/>
    </row>
    <row r="17" spans="1:12" ht="12.75" customHeight="1">
      <c r="A17" s="285"/>
      <c r="B17" s="286"/>
      <c r="C17" s="286"/>
      <c r="D17" s="286"/>
      <c r="E17" s="286"/>
      <c r="F17" s="286"/>
      <c r="G17" s="286"/>
      <c r="H17" s="286"/>
      <c r="I17" s="286"/>
      <c r="J17" s="287"/>
      <c r="K17" s="3"/>
      <c r="L17" s="3"/>
    </row>
    <row r="18" spans="1:12" ht="12.7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287"/>
      <c r="K18" s="3"/>
      <c r="L18" s="3"/>
    </row>
    <row r="19" spans="1:12" ht="1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7"/>
      <c r="K19" s="3"/>
      <c r="L19" s="3"/>
    </row>
    <row r="20" spans="1:12" ht="12.75" customHeight="1" hidden="1">
      <c r="A20" s="285"/>
      <c r="B20" s="286"/>
      <c r="C20" s="286"/>
      <c r="D20" s="286"/>
      <c r="E20" s="286"/>
      <c r="F20" s="286"/>
      <c r="G20" s="286"/>
      <c r="H20" s="286"/>
      <c r="I20" s="286"/>
      <c r="J20" s="287"/>
      <c r="K20" s="3"/>
      <c r="L20" s="3"/>
    </row>
    <row r="21" spans="1:12" ht="12.75" customHeight="1" hidden="1">
      <c r="A21" s="288"/>
      <c r="B21" s="289"/>
      <c r="C21" s="289"/>
      <c r="D21" s="289"/>
      <c r="E21" s="289"/>
      <c r="F21" s="289"/>
      <c r="G21" s="289"/>
      <c r="H21" s="289"/>
      <c r="I21" s="289"/>
      <c r="J21" s="290"/>
      <c r="K21" s="3"/>
      <c r="L21" s="3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48" ht="12.75">
      <c r="E48" s="2">
        <v>940000</v>
      </c>
    </row>
  </sheetData>
  <mergeCells count="2">
    <mergeCell ref="A15:J21"/>
    <mergeCell ref="A11:J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60" workbookViewId="0" topLeftCell="A4">
      <selection activeCell="B38" sqref="B38"/>
    </sheetView>
  </sheetViews>
  <sheetFormatPr defaultColWidth="9.140625" defaultRowHeight="12.75"/>
  <cols>
    <col min="1" max="1" width="44.00390625" style="2" bestFit="1" customWidth="1"/>
    <col min="2" max="2" width="16.57421875" style="2" bestFit="1" customWidth="1"/>
    <col min="3" max="3" width="5.8515625" style="2" customWidth="1"/>
    <col min="4" max="4" width="73.7109375" style="2" customWidth="1"/>
    <col min="5" max="5" width="18.8515625" style="2" customWidth="1"/>
    <col min="6" max="16384" width="9.140625" style="2" customWidth="1"/>
  </cols>
  <sheetData>
    <row r="1" spans="1:5" ht="20.25" customHeight="1">
      <c r="A1" s="340" t="s">
        <v>226</v>
      </c>
      <c r="B1" s="340"/>
      <c r="C1" s="340"/>
      <c r="D1" s="340"/>
      <c r="E1" s="340"/>
    </row>
    <row r="2" spans="1:5" ht="21.75" customHeight="1" thickBot="1">
      <c r="A2" s="348" t="s">
        <v>62</v>
      </c>
      <c r="B2" s="348"/>
      <c r="C2" s="348"/>
      <c r="D2" s="348"/>
      <c r="E2" s="348"/>
    </row>
    <row r="3" spans="1:5" ht="26.25" customHeight="1" thickBot="1">
      <c r="A3" s="337" t="s">
        <v>47</v>
      </c>
      <c r="B3" s="338"/>
      <c r="C3" s="338"/>
      <c r="D3" s="338"/>
      <c r="E3" s="338"/>
    </row>
    <row r="4" spans="1:3" ht="9" customHeight="1">
      <c r="A4" s="6"/>
      <c r="B4" s="6"/>
      <c r="C4" s="6"/>
    </row>
    <row r="5" spans="1:5" ht="15">
      <c r="A5" s="322" t="s">
        <v>15</v>
      </c>
      <c r="B5" s="323"/>
      <c r="C5" s="132"/>
      <c r="D5" s="322" t="s">
        <v>16</v>
      </c>
      <c r="E5" s="323"/>
    </row>
    <row r="6" spans="1:5" ht="25.5" customHeight="1">
      <c r="A6" s="6"/>
      <c r="B6" s="196" t="s">
        <v>233</v>
      </c>
      <c r="C6" s="6"/>
      <c r="D6" s="6"/>
      <c r="E6" s="196" t="s">
        <v>227</v>
      </c>
    </row>
    <row r="7" spans="3:6" ht="28.5">
      <c r="C7" s="150"/>
      <c r="D7" s="197" t="s">
        <v>294</v>
      </c>
      <c r="E7" s="54"/>
      <c r="F7" s="2" t="s">
        <v>28</v>
      </c>
    </row>
    <row r="8" spans="1:6" ht="14.25">
      <c r="A8" s="54" t="s">
        <v>64</v>
      </c>
      <c r="B8" s="81">
        <f>7768+4514</f>
        <v>12282</v>
      </c>
      <c r="C8" s="150"/>
      <c r="D8" s="198" t="s">
        <v>186</v>
      </c>
      <c r="E8" s="81">
        <f>64072.25+4310.48-985.26</f>
        <v>67397.47</v>
      </c>
      <c r="F8" s="56"/>
    </row>
    <row r="9" spans="1:5" ht="14.25">
      <c r="A9" s="54" t="s">
        <v>212</v>
      </c>
      <c r="B9" s="81">
        <v>15960</v>
      </c>
      <c r="C9" s="136"/>
      <c r="D9" s="198" t="s">
        <v>136</v>
      </c>
      <c r="E9" s="81">
        <v>31895.11</v>
      </c>
    </row>
    <row r="10" spans="1:5" ht="14.25">
      <c r="A10" s="54"/>
      <c r="B10" s="81"/>
      <c r="C10" s="136"/>
      <c r="D10" s="198" t="s">
        <v>141</v>
      </c>
      <c r="E10" s="81">
        <v>10423.96</v>
      </c>
    </row>
    <row r="11" spans="1:5" ht="14.25">
      <c r="A11" s="54" t="s">
        <v>203</v>
      </c>
      <c r="B11" s="81">
        <v>73.66</v>
      </c>
      <c r="C11" s="136"/>
      <c r="D11" s="153" t="s">
        <v>120</v>
      </c>
      <c r="E11" s="81">
        <v>985.26</v>
      </c>
    </row>
    <row r="12" spans="1:5" ht="14.25">
      <c r="A12" s="54" t="s">
        <v>18</v>
      </c>
      <c r="B12" s="81">
        <v>217005</v>
      </c>
      <c r="C12" s="136"/>
      <c r="D12" s="153"/>
      <c r="E12" s="81"/>
    </row>
    <row r="13" spans="1:5" ht="14.25">
      <c r="A13" s="54"/>
      <c r="B13" s="81"/>
      <c r="C13" s="54"/>
      <c r="D13" s="153"/>
      <c r="E13" s="81"/>
    </row>
    <row r="14" spans="1:5" ht="14.25">
      <c r="A14" s="113" t="s">
        <v>8</v>
      </c>
      <c r="B14" s="112">
        <f>SUM(B8:B13)</f>
        <v>245320.66</v>
      </c>
      <c r="C14" s="54"/>
      <c r="D14" s="199"/>
      <c r="E14" s="81"/>
    </row>
    <row r="15" spans="1:5" ht="14.25">
      <c r="A15" s="54" t="s">
        <v>178</v>
      </c>
      <c r="B15" s="200">
        <v>3600</v>
      </c>
      <c r="C15" s="54"/>
      <c r="D15" s="171" t="s">
        <v>66</v>
      </c>
      <c r="E15" s="112">
        <f>SUM(E8:E14)</f>
        <v>110701.8</v>
      </c>
    </row>
    <row r="16" spans="1:5" ht="28.5">
      <c r="A16" s="54"/>
      <c r="B16" s="201">
        <f>SUM(B14:B15)</f>
        <v>248920.66</v>
      </c>
      <c r="C16" s="54"/>
      <c r="D16" s="197" t="s">
        <v>295</v>
      </c>
      <c r="E16" s="81"/>
    </row>
    <row r="17" spans="1:5" ht="14.25">
      <c r="A17" s="54"/>
      <c r="B17" s="54"/>
      <c r="C17" s="54"/>
      <c r="D17" s="198" t="s">
        <v>68</v>
      </c>
      <c r="E17" s="81">
        <v>349.28</v>
      </c>
    </row>
    <row r="18" spans="1:5" ht="14.25">
      <c r="A18" s="202" t="s">
        <v>244</v>
      </c>
      <c r="B18" s="203">
        <f>B16-E57</f>
        <v>6736.989999999962</v>
      </c>
      <c r="C18" s="54"/>
      <c r="D18" s="198" t="s">
        <v>69</v>
      </c>
      <c r="E18" s="81">
        <f>3469.53+1200</f>
        <v>4669.530000000001</v>
      </c>
    </row>
    <row r="19" spans="1:5" ht="14.25">
      <c r="A19" s="202" t="s">
        <v>245</v>
      </c>
      <c r="B19" s="204">
        <f>602.5+400+855.48+3738.34+17.81</f>
        <v>5614.13</v>
      </c>
      <c r="C19" s="54"/>
      <c r="D19" s="198" t="s">
        <v>183</v>
      </c>
      <c r="E19" s="81"/>
    </row>
    <row r="20" spans="1:5" ht="14.25">
      <c r="A20" s="202" t="s">
        <v>246</v>
      </c>
      <c r="B20" s="205">
        <v>-789.26</v>
      </c>
      <c r="C20" s="54"/>
      <c r="D20" s="198" t="s">
        <v>179</v>
      </c>
      <c r="E20" s="81">
        <v>1075.21</v>
      </c>
    </row>
    <row r="21" spans="1:5" ht="14.25">
      <c r="A21" s="206" t="s">
        <v>285</v>
      </c>
      <c r="B21" s="209">
        <f>SUM(B18:B20)</f>
        <v>11561.859999999962</v>
      </c>
      <c r="C21" s="54"/>
      <c r="D21" s="198" t="s">
        <v>70</v>
      </c>
      <c r="E21" s="81">
        <v>222.17</v>
      </c>
    </row>
    <row r="22" spans="1:6" ht="14.25">
      <c r="A22" s="54"/>
      <c r="B22" s="81"/>
      <c r="C22" s="54"/>
      <c r="D22" s="171" t="s">
        <v>65</v>
      </c>
      <c r="E22" s="112">
        <f>SUM(E17:E21)</f>
        <v>6316.1900000000005</v>
      </c>
      <c r="F22" s="56"/>
    </row>
    <row r="23" spans="1:5" ht="28.5">
      <c r="A23" s="54"/>
      <c r="B23" s="54"/>
      <c r="C23" s="54"/>
      <c r="D23" s="197" t="s">
        <v>296</v>
      </c>
      <c r="E23" s="150"/>
    </row>
    <row r="24" spans="1:5" ht="14.25">
      <c r="A24" s="54"/>
      <c r="B24" s="54"/>
      <c r="C24" s="54"/>
      <c r="D24" s="198" t="s">
        <v>110</v>
      </c>
      <c r="E24" s="81">
        <v>6000</v>
      </c>
    </row>
    <row r="25" spans="1:5" ht="14.25">
      <c r="A25" s="54"/>
      <c r="B25" s="54"/>
      <c r="C25" s="54"/>
      <c r="D25" s="198" t="s">
        <v>121</v>
      </c>
      <c r="E25" s="81">
        <f>910+420</f>
        <v>1330</v>
      </c>
    </row>
    <row r="26" spans="1:5" ht="14.25">
      <c r="A26" s="54"/>
      <c r="B26" s="54"/>
      <c r="C26" s="54"/>
      <c r="D26" s="153" t="s">
        <v>185</v>
      </c>
      <c r="E26" s="81">
        <v>0</v>
      </c>
    </row>
    <row r="27" spans="1:5" ht="28.5">
      <c r="A27" s="54"/>
      <c r="B27" s="54"/>
      <c r="C27" s="54"/>
      <c r="D27" s="153" t="s">
        <v>180</v>
      </c>
      <c r="E27" s="81">
        <f>13497+324+180+46.83</f>
        <v>14047.83</v>
      </c>
    </row>
    <row r="28" spans="1:5" ht="14.25">
      <c r="A28" s="54"/>
      <c r="B28" s="54"/>
      <c r="C28" s="54"/>
      <c r="D28" s="153" t="s">
        <v>83</v>
      </c>
      <c r="E28" s="81">
        <v>429.76</v>
      </c>
    </row>
    <row r="29" spans="1:6" ht="14.25">
      <c r="A29" s="54"/>
      <c r="B29" s="54"/>
      <c r="C29" s="54"/>
      <c r="D29" s="153" t="s">
        <v>184</v>
      </c>
      <c r="E29" s="81">
        <f>376.1+376.1+376.1</f>
        <v>1128.3000000000002</v>
      </c>
      <c r="F29" s="56"/>
    </row>
    <row r="30" spans="1:5" ht="14.25">
      <c r="A30" s="54"/>
      <c r="B30" s="54"/>
      <c r="C30" s="54"/>
      <c r="D30" s="153" t="s">
        <v>181</v>
      </c>
      <c r="E30" s="81">
        <v>2500</v>
      </c>
    </row>
    <row r="31" spans="1:5" ht="15">
      <c r="A31" s="54"/>
      <c r="B31" s="54"/>
      <c r="C31" s="54"/>
      <c r="D31" s="356" t="s">
        <v>297</v>
      </c>
      <c r="E31" s="357"/>
    </row>
    <row r="32" spans="1:5" ht="14.25">
      <c r="A32" s="54"/>
      <c r="B32" s="54"/>
      <c r="C32" s="54"/>
      <c r="D32" s="153" t="s">
        <v>122</v>
      </c>
      <c r="E32" s="81">
        <f>10756.7+219.81</f>
        <v>10976.51</v>
      </c>
    </row>
    <row r="33" spans="1:5" ht="14.25">
      <c r="A33" s="54"/>
      <c r="B33" s="54"/>
      <c r="C33" s="54"/>
      <c r="D33" s="153" t="s">
        <v>67</v>
      </c>
      <c r="E33" s="81">
        <v>7737.35</v>
      </c>
    </row>
    <row r="34" spans="1:5" ht="14.25">
      <c r="A34" s="54"/>
      <c r="B34" s="54"/>
      <c r="C34" s="54"/>
      <c r="D34" s="153" t="s">
        <v>182</v>
      </c>
      <c r="E34" s="81">
        <v>2500</v>
      </c>
    </row>
    <row r="35" spans="1:5" ht="14.25">
      <c r="A35" s="54"/>
      <c r="B35" s="54"/>
      <c r="C35" s="54"/>
      <c r="D35" s="153" t="s">
        <v>129</v>
      </c>
      <c r="E35" s="81">
        <v>4000</v>
      </c>
    </row>
    <row r="36" spans="1:5" ht="14.25">
      <c r="A36" s="54"/>
      <c r="B36" s="54"/>
      <c r="C36" s="54"/>
      <c r="D36" s="153" t="s">
        <v>228</v>
      </c>
      <c r="E36" s="81">
        <v>440</v>
      </c>
    </row>
    <row r="37" spans="1:5" ht="14.25">
      <c r="A37" s="54"/>
      <c r="B37" s="54"/>
      <c r="C37" s="54"/>
      <c r="D37" s="153" t="s">
        <v>229</v>
      </c>
      <c r="E37" s="81">
        <v>974.52</v>
      </c>
    </row>
    <row r="38" spans="1:5" ht="14.25">
      <c r="A38" s="54"/>
      <c r="B38" s="54"/>
      <c r="C38" s="54"/>
      <c r="D38" s="153" t="s">
        <v>138</v>
      </c>
      <c r="E38" s="81">
        <v>1300</v>
      </c>
    </row>
    <row r="39" spans="1:5" ht="14.25">
      <c r="A39" s="54"/>
      <c r="B39" s="54"/>
      <c r="C39" s="54"/>
      <c r="D39" s="153" t="s">
        <v>137</v>
      </c>
      <c r="E39" s="81">
        <v>1091.2</v>
      </c>
    </row>
    <row r="40" spans="1:5" ht="14.25">
      <c r="A40" s="54"/>
      <c r="B40" s="54"/>
      <c r="C40" s="54"/>
      <c r="D40" s="153" t="s">
        <v>139</v>
      </c>
      <c r="E40" s="81">
        <f>2000+2000+400</f>
        <v>4400</v>
      </c>
    </row>
    <row r="41" spans="1:5" ht="14.25">
      <c r="A41" s="54"/>
      <c r="B41" s="54"/>
      <c r="C41" s="54"/>
      <c r="D41" s="153" t="s">
        <v>220</v>
      </c>
      <c r="E41" s="81"/>
    </row>
    <row r="42" spans="1:7" ht="14.25">
      <c r="A42" s="54"/>
      <c r="B42" s="54"/>
      <c r="C42" s="54"/>
      <c r="D42" s="153" t="s">
        <v>213</v>
      </c>
      <c r="E42" s="81">
        <v>22800</v>
      </c>
      <c r="G42" s="56"/>
    </row>
    <row r="43" spans="1:5" ht="14.25">
      <c r="A43" s="54"/>
      <c r="B43" s="54"/>
      <c r="C43" s="54"/>
      <c r="D43" s="171" t="s">
        <v>71</v>
      </c>
      <c r="E43" s="112">
        <f>SUM(E24:E42)</f>
        <v>81655.47</v>
      </c>
    </row>
    <row r="44" spans="1:5" ht="14.25">
      <c r="A44" s="54"/>
      <c r="B44" s="54"/>
      <c r="C44" s="54"/>
      <c r="D44" s="113" t="s">
        <v>146</v>
      </c>
      <c r="E44" s="81"/>
    </row>
    <row r="45" spans="1:5" ht="14.25">
      <c r="A45" s="54"/>
      <c r="B45" s="54"/>
      <c r="C45" s="54"/>
      <c r="D45" s="153" t="s">
        <v>231</v>
      </c>
      <c r="E45" s="138">
        <v>39645.79</v>
      </c>
    </row>
    <row r="46" spans="1:5" ht="14.25">
      <c r="A46" s="54"/>
      <c r="B46" s="54"/>
      <c r="C46" s="54"/>
      <c r="D46" s="153" t="s">
        <v>230</v>
      </c>
      <c r="E46" s="138">
        <v>150</v>
      </c>
    </row>
    <row r="47" spans="1:6" ht="15" customHeight="1">
      <c r="A47" s="54"/>
      <c r="B47" s="54"/>
      <c r="C47" s="54"/>
      <c r="D47" s="197" t="s">
        <v>298</v>
      </c>
      <c r="E47" s="81"/>
      <c r="F47" s="56"/>
    </row>
    <row r="48" spans="1:6" ht="15" customHeight="1">
      <c r="A48" s="54"/>
      <c r="B48" s="54"/>
      <c r="C48" s="54"/>
      <c r="D48" s="153" t="s">
        <v>232</v>
      </c>
      <c r="E48" s="81">
        <v>114.42</v>
      </c>
      <c r="F48" s="56"/>
    </row>
    <row r="49" spans="1:6" ht="15" customHeight="1">
      <c r="A49" s="54"/>
      <c r="B49" s="54"/>
      <c r="C49" s="54"/>
      <c r="D49" s="153"/>
      <c r="E49" s="81"/>
      <c r="F49" s="56"/>
    </row>
    <row r="50" spans="1:5" ht="14.25">
      <c r="A50" s="54"/>
      <c r="B50" s="54"/>
      <c r="C50" s="54"/>
      <c r="D50" s="153"/>
      <c r="E50" s="81">
        <v>0</v>
      </c>
    </row>
    <row r="51" spans="1:6" ht="14.25">
      <c r="A51" s="54"/>
      <c r="B51" s="54"/>
      <c r="C51" s="54"/>
      <c r="D51" s="171" t="s">
        <v>72</v>
      </c>
      <c r="E51" s="112">
        <f>SUM(E48:E50)</f>
        <v>114.42</v>
      </c>
      <c r="F51" s="56"/>
    </row>
    <row r="52" spans="1:6" ht="14.25">
      <c r="A52" s="54"/>
      <c r="B52" s="54"/>
      <c r="C52" s="54"/>
      <c r="D52" s="171"/>
      <c r="E52" s="37"/>
      <c r="F52" s="56"/>
    </row>
    <row r="53" spans="1:6" ht="14.25">
      <c r="A53" s="54"/>
      <c r="B53" s="54"/>
      <c r="C53" s="54"/>
      <c r="D53" s="210"/>
      <c r="E53" s="37"/>
      <c r="F53" s="56"/>
    </row>
    <row r="54" spans="1:5" ht="14.25">
      <c r="A54" s="211"/>
      <c r="D54" s="54"/>
      <c r="E54" s="81"/>
    </row>
    <row r="55" spans="4:5" ht="18">
      <c r="D55" s="212" t="s">
        <v>74</v>
      </c>
      <c r="E55" s="213">
        <f>SUM(E15,E22,E43,E45,E46,E51,E53)</f>
        <v>238583.67000000004</v>
      </c>
    </row>
    <row r="56" spans="4:5" s="54" customFormat="1" ht="21.75" customHeight="1">
      <c r="D56" s="54" t="s">
        <v>177</v>
      </c>
      <c r="E56" s="81">
        <v>3600</v>
      </c>
    </row>
    <row r="57" spans="1:5" ht="12.75">
      <c r="A57" s="156"/>
      <c r="B57" s="156"/>
      <c r="C57" s="156"/>
      <c r="E57" s="152">
        <f>SUM(E55:E56)</f>
        <v>242183.67000000004</v>
      </c>
    </row>
    <row r="58" spans="1:5" ht="12.75">
      <c r="A58" s="6"/>
      <c r="B58" s="6"/>
      <c r="C58" s="6"/>
      <c r="E58" s="157"/>
    </row>
    <row r="59" spans="1:5" ht="12.75">
      <c r="A59" s="6"/>
      <c r="B59" s="6"/>
      <c r="C59" s="6"/>
      <c r="D59" s="156"/>
      <c r="E59" s="156"/>
    </row>
    <row r="61" ht="12.75">
      <c r="E61" s="6"/>
    </row>
    <row r="62" spans="4:5" ht="12.75">
      <c r="D62" s="6"/>
      <c r="E62" s="56"/>
    </row>
    <row r="63" ht="12.75">
      <c r="E63" s="103"/>
    </row>
    <row r="64" spans="4:5" ht="12.75">
      <c r="D64" s="56"/>
      <c r="E64" s="103"/>
    </row>
    <row r="65" spans="4:5" ht="12.75">
      <c r="D65" s="56"/>
      <c r="E65" s="103"/>
    </row>
    <row r="66" spans="4:5" ht="12.75">
      <c r="D66" s="56"/>
      <c r="E66" s="56"/>
    </row>
    <row r="67" spans="1:5" ht="12.75">
      <c r="A67" s="160"/>
      <c r="B67" s="160"/>
      <c r="C67" s="160"/>
      <c r="D67" s="56"/>
      <c r="E67" s="157"/>
    </row>
    <row r="68" ht="12.75">
      <c r="E68" s="214"/>
    </row>
    <row r="69" ht="12.75">
      <c r="E69" s="6"/>
    </row>
  </sheetData>
  <mergeCells count="6">
    <mergeCell ref="D31:E31"/>
    <mergeCell ref="A5:B5"/>
    <mergeCell ref="A1:E1"/>
    <mergeCell ref="A2:E2"/>
    <mergeCell ref="A3:E3"/>
    <mergeCell ref="D5:E5"/>
  </mergeCells>
  <printOptions gridLines="1"/>
  <pageMargins left="0.7480314960629921" right="0.7480314960629921" top="0.7874015748031497" bottom="0.7874015748031497" header="0.5118110236220472" footer="0.31496062992125984"/>
  <pageSetup horizontalDpi="300" verticalDpi="300" orientation="landscape" paperSize="9" scale="83" r:id="rId1"/>
  <headerFooter alignWithMargins="0">
    <oddFooter>&amp;L&amp;"Arial,Grassetto"Bilancio di previsione 2006&amp;RPagina &amp;P</oddFooter>
  </headerFooter>
  <rowBreaks count="2" manualBreakCount="2">
    <brk id="30" max="4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</dc:creator>
  <cp:keywords/>
  <dc:description/>
  <cp:lastModifiedBy>n.berti</cp:lastModifiedBy>
  <cp:lastPrinted>2007-05-17T07:53:01Z</cp:lastPrinted>
  <dcterms:created xsi:type="dcterms:W3CDTF">2001-11-11T09:37:05Z</dcterms:created>
  <dcterms:modified xsi:type="dcterms:W3CDTF">2007-05-23T15:30:29Z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-1555285330</vt:i4>
  </property>
  <property fmtid="{D5CDD505-2E9C-101B-9397-08002B2CF9AE}" pid="3" name="_EmailSubject">
    <vt:lpwstr>bilancio 2006</vt:lpwstr>
  </property>
  <property fmtid="{D5CDD505-2E9C-101B-9397-08002B2CF9AE}" pid="4" name="_AuthorEmail">
    <vt:lpwstr>n.berti@renogalliera.it</vt:lpwstr>
  </property>
  <property fmtid="{D5CDD505-2E9C-101B-9397-08002B2CF9AE}" pid="5" name="_AuthorEmailDisplayName">
    <vt:lpwstr>Nara Berti</vt:lpwstr>
  </property>
  <property fmtid="{D5CDD505-2E9C-101B-9397-08002B2CF9AE}" pid="6" name="_PreviousAdHocReviewCycleID">
    <vt:i4>1814865481</vt:i4>
  </property>
  <property fmtid="{D5CDD505-2E9C-101B-9397-08002B2CF9AE}" pid="7" name="_ReviewingToolsShownOnce">
    <vt:lpwstr/>
  </property>
</Properties>
</file>